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mmunal\Tax, Treasury &amp; Reporting\Investments\Reporting\FOI reports\List of investments\"/>
    </mc:Choice>
  </mc:AlternateContent>
  <xr:revisionPtr revIDLastSave="0" documentId="13_ncr:1_{30848DA9-1AB0-4337-9445-20C2155AD446}" xr6:coauthVersionLast="46" xr6:coauthVersionMax="46" xr10:uidLastSave="{00000000-0000-0000-0000-000000000000}"/>
  <bookViews>
    <workbookView xWindow="-120" yWindow="-120" windowWidth="29040" windowHeight="13320" xr2:uid="{CB5CE888-37E3-4C9C-8B1D-C2C50317BFAA}"/>
  </bookViews>
  <sheets>
    <sheet name="List - 31-Jul-2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19" i="5" l="1"/>
  <c r="D1140" i="5"/>
  <c r="B1137" i="5" l="1"/>
  <c r="B1134" i="5"/>
  <c r="B1133" i="5"/>
  <c r="B1132" i="5"/>
  <c r="B1131" i="5"/>
  <c r="B1130" i="5"/>
  <c r="B1129" i="5"/>
  <c r="B1128" i="5"/>
  <c r="B1127" i="5"/>
  <c r="B1126" i="5"/>
  <c r="B1125" i="5"/>
  <c r="B1122" i="5"/>
  <c r="B1121" i="5"/>
  <c r="B1117" i="5"/>
  <c r="B1116" i="5"/>
  <c r="B1115" i="5"/>
  <c r="B1114" i="5"/>
  <c r="B1112" i="5"/>
  <c r="B1111" i="5"/>
  <c r="B1110" i="5"/>
  <c r="B1109" i="5"/>
  <c r="B1108" i="5"/>
  <c r="B1107" i="5"/>
  <c r="B1106" i="5"/>
  <c r="B1105" i="5"/>
  <c r="B1104" i="5"/>
  <c r="B1103" i="5"/>
  <c r="B1102" i="5"/>
  <c r="B1101" i="5"/>
  <c r="B1100" i="5"/>
  <c r="B1099" i="5"/>
  <c r="B1097" i="5"/>
  <c r="B1096" i="5"/>
  <c r="B1095" i="5"/>
  <c r="B1094" i="5"/>
  <c r="B1093" i="5"/>
  <c r="B1092" i="5"/>
  <c r="B1091" i="5"/>
  <c r="B1090" i="5"/>
  <c r="B1089" i="5"/>
  <c r="B1088" i="5"/>
  <c r="B1087" i="5"/>
  <c r="B1086" i="5"/>
  <c r="B1085" i="5"/>
  <c r="B1084" i="5"/>
  <c r="B1083" i="5"/>
  <c r="B1082" i="5"/>
  <c r="B1081" i="5"/>
  <c r="B1080" i="5"/>
  <c r="B1079" i="5"/>
  <c r="B1078" i="5"/>
  <c r="B1077" i="5"/>
  <c r="B1076" i="5"/>
  <c r="B1075" i="5"/>
  <c r="B1074" i="5"/>
  <c r="B1073" i="5"/>
  <c r="B1072" i="5"/>
  <c r="B1071" i="5"/>
  <c r="B1070" i="5"/>
  <c r="B1069" i="5"/>
  <c r="B1068" i="5"/>
  <c r="B1067" i="5"/>
  <c r="B1066" i="5"/>
  <c r="B1065" i="5"/>
  <c r="B1064" i="5"/>
  <c r="B1063" i="5"/>
  <c r="B1062" i="5"/>
  <c r="B1061" i="5"/>
  <c r="B1060" i="5"/>
  <c r="B1058" i="5"/>
  <c r="B1057" i="5"/>
  <c r="B1056" i="5"/>
  <c r="B1055" i="5"/>
  <c r="B1054" i="5"/>
  <c r="B1053" i="5"/>
  <c r="B1051" i="5"/>
  <c r="B1050" i="5"/>
  <c r="B1049" i="5"/>
  <c r="B1048" i="5"/>
  <c r="B1047" i="5"/>
  <c r="B1046" i="5"/>
  <c r="B1045" i="5"/>
  <c r="B1044" i="5"/>
  <c r="B1043" i="5"/>
  <c r="B1042" i="5"/>
  <c r="B1041" i="5"/>
  <c r="B1040" i="5"/>
  <c r="B1039" i="5"/>
  <c r="B1038" i="5"/>
  <c r="B1037" i="5"/>
  <c r="B1036" i="5"/>
  <c r="B1035" i="5"/>
  <c r="B1034" i="5"/>
  <c r="B1033" i="5"/>
  <c r="B1032" i="5"/>
  <c r="B1031" i="5"/>
  <c r="B1030" i="5"/>
  <c r="B1029" i="5"/>
  <c r="B1028" i="5"/>
  <c r="B1027" i="5"/>
  <c r="B1026" i="5"/>
  <c r="B1025" i="5"/>
  <c r="B1024" i="5"/>
  <c r="B1023" i="5"/>
  <c r="B1022" i="5"/>
  <c r="B1021" i="5"/>
  <c r="B1020" i="5"/>
  <c r="B1019" i="5"/>
  <c r="B1018" i="5"/>
  <c r="B1017" i="5"/>
  <c r="B1016" i="5"/>
  <c r="B1015" i="5"/>
  <c r="B1014" i="5"/>
  <c r="B1013" i="5"/>
  <c r="B1012" i="5"/>
  <c r="B1011" i="5"/>
  <c r="B1010" i="5"/>
  <c r="B1009" i="5"/>
  <c r="B1007" i="5"/>
  <c r="B1006" i="5"/>
  <c r="B1005" i="5"/>
  <c r="B1004" i="5"/>
  <c r="B1003" i="5"/>
  <c r="B1002" i="5"/>
  <c r="B1001" i="5"/>
  <c r="B1000" i="5"/>
  <c r="B999" i="5"/>
  <c r="B998" i="5"/>
  <c r="B997" i="5"/>
  <c r="B996" i="5"/>
  <c r="B995" i="5"/>
  <c r="B993" i="5"/>
  <c r="B992" i="5"/>
  <c r="B991" i="5"/>
  <c r="B990" i="5"/>
  <c r="B989" i="5"/>
  <c r="B988" i="5"/>
  <c r="B987" i="5"/>
  <c r="B986" i="5"/>
  <c r="B985" i="5"/>
  <c r="B983" i="5"/>
  <c r="B982" i="5"/>
  <c r="B981" i="5"/>
  <c r="B980" i="5"/>
  <c r="B979" i="5"/>
  <c r="B978" i="5"/>
  <c r="B977" i="5"/>
  <c r="B976" i="5"/>
  <c r="B975" i="5"/>
  <c r="B974" i="5"/>
  <c r="B973" i="5"/>
  <c r="B972" i="5"/>
  <c r="B971" i="5"/>
  <c r="B970" i="5"/>
  <c r="B969" i="5"/>
  <c r="B968" i="5"/>
  <c r="B967" i="5"/>
  <c r="B966" i="5"/>
  <c r="B965" i="5"/>
  <c r="B964" i="5"/>
  <c r="B963" i="5"/>
  <c r="B962" i="5"/>
  <c r="B961" i="5"/>
  <c r="B960" i="5"/>
  <c r="B959" i="5"/>
  <c r="B994" i="5"/>
  <c r="B958" i="5"/>
  <c r="B957" i="5"/>
  <c r="B956" i="5"/>
  <c r="B955" i="5"/>
  <c r="B954" i="5"/>
  <c r="B953" i="5"/>
  <c r="B952" i="5"/>
  <c r="B951" i="5"/>
  <c r="B950" i="5"/>
  <c r="B949" i="5"/>
  <c r="B948" i="5"/>
  <c r="B947" i="5"/>
  <c r="B946" i="5"/>
  <c r="B945" i="5"/>
  <c r="B944" i="5"/>
  <c r="B943" i="5"/>
  <c r="B942" i="5"/>
  <c r="B941" i="5"/>
  <c r="B940" i="5"/>
  <c r="B939" i="5"/>
  <c r="B938" i="5"/>
  <c r="B937" i="5"/>
  <c r="B936" i="5"/>
  <c r="B935" i="5"/>
  <c r="B934" i="5"/>
  <c r="B933" i="5"/>
  <c r="B932" i="5"/>
  <c r="B931" i="5"/>
  <c r="B930" i="5"/>
  <c r="B929" i="5"/>
  <c r="B928" i="5"/>
  <c r="B927" i="5"/>
  <c r="B926" i="5"/>
  <c r="B925" i="5"/>
  <c r="B924" i="5"/>
  <c r="B923" i="5"/>
  <c r="B922" i="5"/>
  <c r="B920" i="5"/>
  <c r="B919" i="5"/>
  <c r="B918" i="5"/>
  <c r="B917" i="5"/>
  <c r="B915" i="5"/>
  <c r="B914" i="5"/>
  <c r="B913" i="5"/>
  <c r="B912" i="5"/>
  <c r="B911" i="5"/>
  <c r="B910" i="5"/>
  <c r="B909" i="5"/>
  <c r="B908" i="5"/>
  <c r="B907" i="5"/>
  <c r="B906" i="5"/>
  <c r="B905" i="5"/>
  <c r="B904" i="5"/>
  <c r="B903" i="5"/>
  <c r="B902" i="5"/>
  <c r="B901" i="5"/>
  <c r="B900" i="5"/>
  <c r="B899" i="5"/>
  <c r="B898" i="5"/>
  <c r="B897" i="5"/>
  <c r="B896" i="5"/>
  <c r="B895" i="5"/>
  <c r="B894" i="5"/>
  <c r="B893" i="5"/>
  <c r="B890" i="5"/>
  <c r="B889" i="5"/>
  <c r="B888" i="5"/>
  <c r="B887" i="5"/>
  <c r="B886" i="5"/>
  <c r="B885" i="5"/>
  <c r="B884" i="5"/>
  <c r="B883" i="5"/>
  <c r="B882" i="5"/>
  <c r="B881" i="5"/>
  <c r="B880" i="5"/>
  <c r="B879" i="5"/>
  <c r="B878" i="5"/>
  <c r="B877" i="5"/>
  <c r="B876" i="5"/>
  <c r="B875" i="5"/>
  <c r="B874" i="5"/>
  <c r="B873" i="5"/>
  <c r="B872" i="5"/>
  <c r="B871" i="5"/>
  <c r="B870" i="5"/>
  <c r="B869" i="5"/>
  <c r="B868" i="5"/>
  <c r="B867" i="5"/>
  <c r="B866" i="5"/>
  <c r="B862" i="5"/>
  <c r="B861" i="5"/>
  <c r="B860" i="5"/>
  <c r="B859" i="5"/>
  <c r="B858" i="5"/>
  <c r="B857" i="5"/>
  <c r="B855" i="5"/>
  <c r="B854" i="5"/>
  <c r="B853" i="5"/>
  <c r="B852" i="5"/>
  <c r="B851" i="5"/>
  <c r="B850" i="5"/>
  <c r="B849" i="5"/>
  <c r="B848" i="5"/>
  <c r="B847" i="5"/>
  <c r="B845" i="5"/>
  <c r="B844" i="5"/>
  <c r="B843" i="5"/>
  <c r="B842" i="5"/>
  <c r="B839" i="5"/>
  <c r="B837" i="5"/>
  <c r="B836" i="5"/>
  <c r="B835" i="5"/>
  <c r="B834" i="5"/>
  <c r="B833" i="5"/>
  <c r="B831" i="5"/>
  <c r="B830" i="5"/>
  <c r="B829" i="5"/>
  <c r="B828" i="5"/>
  <c r="B827" i="5"/>
  <c r="B826" i="5"/>
  <c r="B825" i="5"/>
  <c r="B824" i="5"/>
  <c r="B823" i="5"/>
  <c r="B822" i="5"/>
  <c r="B821" i="5"/>
  <c r="B820" i="5"/>
  <c r="B819" i="5"/>
  <c r="B818" i="5"/>
  <c r="B817" i="5"/>
  <c r="B816" i="5"/>
  <c r="B815" i="5"/>
  <c r="B814" i="5"/>
  <c r="B813" i="5"/>
  <c r="B812" i="5"/>
  <c r="B811" i="5"/>
  <c r="B810" i="5"/>
  <c r="B809" i="5"/>
  <c r="B808" i="5"/>
  <c r="B807" i="5"/>
  <c r="B806" i="5"/>
  <c r="B805" i="5"/>
  <c r="B804" i="5"/>
  <c r="B803" i="5"/>
  <c r="B802" i="5"/>
  <c r="B801" i="5"/>
  <c r="B800" i="5"/>
  <c r="B799" i="5"/>
  <c r="B797" i="5"/>
  <c r="B796" i="5"/>
  <c r="B795" i="5"/>
  <c r="B794" i="5"/>
  <c r="B793" i="5"/>
  <c r="B792" i="5"/>
  <c r="B791" i="5"/>
  <c r="B790" i="5"/>
  <c r="B789" i="5"/>
  <c r="B787" i="5"/>
  <c r="B786" i="5"/>
  <c r="B785" i="5"/>
  <c r="B784" i="5"/>
  <c r="B783" i="5"/>
  <c r="B782" i="5"/>
  <c r="B781" i="5"/>
  <c r="B780" i="5"/>
  <c r="B779" i="5"/>
  <c r="B778" i="5"/>
  <c r="B777" i="5"/>
  <c r="B776" i="5"/>
  <c r="B775" i="5"/>
  <c r="B774" i="5"/>
  <c r="B773" i="5"/>
  <c r="B772" i="5"/>
  <c r="B771" i="5"/>
  <c r="B770" i="5"/>
  <c r="B768" i="5"/>
  <c r="B767" i="5"/>
  <c r="B766" i="5"/>
  <c r="B765" i="5"/>
  <c r="B764" i="5"/>
  <c r="B763" i="5"/>
  <c r="B762" i="5"/>
  <c r="B760" i="5"/>
  <c r="B759" i="5"/>
  <c r="B758" i="5"/>
  <c r="B757" i="5"/>
  <c r="B756" i="5"/>
  <c r="B755" i="5"/>
  <c r="B754" i="5"/>
  <c r="B753" i="5"/>
  <c r="B752" i="5"/>
  <c r="B751" i="5"/>
  <c r="B750" i="5"/>
  <c r="B749" i="5"/>
  <c r="B748" i="5"/>
  <c r="B747" i="5"/>
  <c r="B746" i="5"/>
  <c r="B745" i="5"/>
  <c r="B744" i="5"/>
  <c r="B743" i="5"/>
  <c r="B742" i="5"/>
  <c r="B740" i="5"/>
  <c r="B739" i="5"/>
  <c r="B738" i="5"/>
  <c r="B737" i="5"/>
  <c r="B736" i="5"/>
  <c r="B735" i="5"/>
  <c r="B734" i="5"/>
  <c r="B733" i="5"/>
  <c r="B732" i="5"/>
  <c r="B731" i="5"/>
  <c r="B730" i="5"/>
  <c r="B729" i="5"/>
  <c r="B728" i="5"/>
  <c r="B727" i="5"/>
  <c r="B726" i="5"/>
  <c r="B725" i="5"/>
  <c r="B724" i="5"/>
  <c r="B723" i="5"/>
  <c r="B722" i="5"/>
  <c r="B721" i="5"/>
  <c r="B720" i="5"/>
  <c r="B719" i="5"/>
  <c r="B718" i="5"/>
  <c r="B717" i="5"/>
  <c r="B716" i="5"/>
  <c r="B715" i="5"/>
  <c r="B714" i="5"/>
  <c r="B713" i="5"/>
  <c r="B712" i="5"/>
  <c r="B711" i="5"/>
  <c r="B710" i="5"/>
  <c r="B709" i="5"/>
  <c r="B708" i="5"/>
  <c r="B707" i="5"/>
  <c r="B706" i="5"/>
  <c r="B705" i="5"/>
  <c r="B704" i="5"/>
  <c r="B703" i="5"/>
  <c r="B702" i="5"/>
  <c r="B701" i="5"/>
  <c r="B700" i="5"/>
  <c r="B699" i="5"/>
  <c r="B698" i="5"/>
  <c r="B697" i="5"/>
  <c r="B696" i="5"/>
  <c r="B695" i="5"/>
  <c r="B694" i="5"/>
  <c r="B693" i="5"/>
  <c r="B692" i="5"/>
  <c r="B691" i="5"/>
  <c r="B690" i="5"/>
  <c r="B689" i="5"/>
  <c r="B688" i="5"/>
  <c r="B687" i="5"/>
  <c r="B686" i="5"/>
  <c r="B685" i="5"/>
  <c r="B684" i="5"/>
  <c r="B683" i="5"/>
  <c r="B682" i="5"/>
  <c r="B681" i="5"/>
  <c r="B680" i="5"/>
  <c r="B679" i="5"/>
  <c r="B677" i="5"/>
  <c r="B676" i="5"/>
  <c r="B675" i="5"/>
  <c r="B674" i="5"/>
  <c r="B673" i="5"/>
  <c r="B672" i="5"/>
  <c r="B671" i="5"/>
  <c r="B670" i="5"/>
  <c r="B669" i="5"/>
  <c r="B668" i="5"/>
  <c r="B667" i="5"/>
  <c r="B666" i="5"/>
  <c r="B665" i="5"/>
  <c r="B664" i="5"/>
  <c r="B662" i="5"/>
  <c r="B661" i="5"/>
  <c r="B660" i="5"/>
  <c r="B659" i="5"/>
  <c r="B658" i="5"/>
  <c r="B657" i="5"/>
  <c r="B656" i="5"/>
  <c r="B655" i="5"/>
  <c r="B654" i="5"/>
  <c r="B653" i="5"/>
  <c r="B652" i="5"/>
  <c r="B651" i="5"/>
  <c r="B650" i="5"/>
  <c r="B649" i="5"/>
  <c r="B648" i="5"/>
  <c r="B647" i="5"/>
  <c r="B646" i="5"/>
  <c r="B645" i="5"/>
  <c r="B644" i="5"/>
  <c r="B643" i="5"/>
  <c r="B642" i="5"/>
  <c r="B641" i="5"/>
  <c r="B640" i="5"/>
  <c r="B639" i="5"/>
  <c r="B638" i="5"/>
  <c r="B637" i="5"/>
  <c r="B636" i="5"/>
  <c r="B635" i="5"/>
  <c r="B634" i="5"/>
  <c r="B633" i="5"/>
  <c r="B631" i="5"/>
  <c r="B630" i="5"/>
  <c r="B629" i="5"/>
  <c r="B628" i="5"/>
  <c r="B627" i="5"/>
  <c r="B626" i="5"/>
  <c r="B625" i="5"/>
  <c r="B624" i="5"/>
  <c r="B623" i="5"/>
  <c r="B622" i="5"/>
  <c r="B621" i="5"/>
  <c r="B620" i="5"/>
  <c r="B619" i="5"/>
  <c r="B618" i="5"/>
  <c r="B617" i="5"/>
  <c r="B615" i="5"/>
  <c r="B614" i="5"/>
  <c r="B613" i="5"/>
  <c r="B612" i="5"/>
  <c r="B611" i="5"/>
  <c r="B610" i="5"/>
  <c r="B609" i="5"/>
  <c r="B608" i="5"/>
  <c r="B607" i="5"/>
  <c r="B606" i="5"/>
  <c r="B604" i="5"/>
  <c r="B603" i="5"/>
  <c r="B602" i="5"/>
  <c r="B601" i="5"/>
  <c r="B600" i="5"/>
  <c r="B599" i="5"/>
  <c r="B597" i="5"/>
  <c r="B596" i="5"/>
  <c r="B595" i="5"/>
  <c r="B594" i="5"/>
  <c r="B592" i="5"/>
  <c r="B591" i="5"/>
  <c r="B590" i="5"/>
  <c r="B589" i="5"/>
  <c r="B588" i="5"/>
  <c r="B587" i="5"/>
  <c r="B586" i="5"/>
  <c r="B585" i="5"/>
  <c r="B584" i="5"/>
  <c r="B583" i="5"/>
  <c r="B582" i="5"/>
  <c r="B581" i="5"/>
  <c r="B580" i="5"/>
  <c r="B579" i="5"/>
  <c r="B578" i="5"/>
  <c r="B577" i="5"/>
  <c r="B576" i="5"/>
  <c r="B575" i="5"/>
  <c r="B574" i="5"/>
  <c r="B573" i="5"/>
  <c r="B571" i="5"/>
  <c r="B570" i="5"/>
  <c r="B569" i="5"/>
  <c r="B568" i="5"/>
  <c r="B566" i="5"/>
  <c r="B565" i="5"/>
  <c r="B564" i="5"/>
  <c r="B563" i="5"/>
  <c r="B598" i="5"/>
  <c r="B562" i="5"/>
  <c r="B561" i="5"/>
  <c r="B560" i="5"/>
  <c r="B559" i="5"/>
  <c r="B558" i="5"/>
  <c r="B557" i="5"/>
  <c r="B556" i="5"/>
  <c r="B555" i="5"/>
  <c r="B554" i="5"/>
  <c r="B553" i="5"/>
  <c r="B552" i="5"/>
  <c r="B551" i="5"/>
  <c r="B550" i="5"/>
  <c r="B549" i="5"/>
  <c r="B548" i="5"/>
  <c r="B547" i="5"/>
  <c r="B546" i="5"/>
  <c r="B545" i="5"/>
  <c r="B544" i="5"/>
  <c r="B543" i="5"/>
  <c r="B542" i="5"/>
  <c r="B541" i="5"/>
  <c r="B540" i="5"/>
  <c r="B539" i="5"/>
  <c r="B538" i="5"/>
  <c r="B537" i="5"/>
  <c r="B536" i="5"/>
  <c r="B535" i="5"/>
  <c r="B534" i="5"/>
  <c r="B533" i="5"/>
  <c r="B532" i="5"/>
  <c r="B531" i="5"/>
  <c r="B530" i="5"/>
  <c r="B529" i="5"/>
  <c r="B528" i="5"/>
  <c r="B527" i="5"/>
  <c r="B526" i="5"/>
  <c r="B525" i="5"/>
  <c r="B524" i="5"/>
  <c r="B523" i="5"/>
  <c r="B522" i="5"/>
  <c r="B521" i="5"/>
  <c r="B520" i="5"/>
  <c r="B519" i="5"/>
  <c r="B518" i="5"/>
  <c r="B517" i="5"/>
  <c r="B516" i="5"/>
  <c r="B515" i="5"/>
  <c r="B514" i="5"/>
  <c r="B513" i="5"/>
  <c r="B512" i="5"/>
  <c r="B511" i="5"/>
  <c r="B510" i="5"/>
  <c r="B508" i="5"/>
  <c r="B507" i="5"/>
  <c r="B506" i="5"/>
  <c r="B505" i="5"/>
  <c r="B504" i="5"/>
  <c r="B503" i="5"/>
  <c r="B502" i="5"/>
  <c r="B501" i="5"/>
  <c r="B500" i="5"/>
  <c r="B499" i="5"/>
  <c r="B498" i="5"/>
  <c r="B497" i="5"/>
  <c r="B496" i="5"/>
  <c r="B495" i="5"/>
  <c r="B494" i="5"/>
  <c r="B493" i="5"/>
  <c r="B492" i="5"/>
  <c r="B491" i="5"/>
  <c r="B490" i="5"/>
  <c r="B489" i="5"/>
  <c r="B487" i="5"/>
  <c r="B486" i="5"/>
  <c r="B485" i="5"/>
  <c r="B484" i="5"/>
  <c r="B483" i="5"/>
  <c r="B482" i="5"/>
  <c r="B481" i="5"/>
  <c r="B480" i="5"/>
  <c r="B479" i="5"/>
  <c r="B478" i="5"/>
  <c r="B477" i="5"/>
  <c r="B476" i="5"/>
  <c r="B475" i="5"/>
  <c r="B474" i="5"/>
  <c r="B473" i="5"/>
  <c r="B472" i="5"/>
  <c r="B471" i="5"/>
  <c r="B470" i="5"/>
  <c r="B469" i="5"/>
  <c r="B468" i="5"/>
  <c r="B467" i="5"/>
  <c r="B466" i="5"/>
  <c r="B465" i="5"/>
  <c r="B464" i="5"/>
  <c r="B463" i="5"/>
  <c r="B462" i="5"/>
  <c r="B460" i="5"/>
  <c r="B458" i="5"/>
  <c r="B457" i="5"/>
  <c r="B456" i="5"/>
  <c r="B455" i="5"/>
  <c r="B454" i="5"/>
  <c r="B453" i="5"/>
  <c r="B452" i="5"/>
  <c r="B451" i="5"/>
  <c r="B450" i="5"/>
  <c r="B449" i="5"/>
  <c r="B448" i="5"/>
  <c r="B447" i="5"/>
  <c r="B446" i="5"/>
  <c r="B445" i="5"/>
  <c r="B444" i="5"/>
  <c r="B443" i="5"/>
  <c r="B442" i="5"/>
  <c r="B441" i="5"/>
  <c r="B440" i="5"/>
  <c r="B439" i="5"/>
  <c r="B438" i="5"/>
  <c r="B437" i="5"/>
  <c r="B436" i="5"/>
  <c r="B435" i="5"/>
  <c r="B434" i="5"/>
  <c r="B433" i="5"/>
  <c r="B432" i="5"/>
  <c r="B431" i="5"/>
  <c r="B430" i="5"/>
  <c r="B429" i="5"/>
  <c r="B428" i="5"/>
  <c r="B427" i="5"/>
  <c r="B426" i="5"/>
  <c r="B425" i="5"/>
  <c r="B424" i="5"/>
  <c r="B423" i="5"/>
  <c r="B422" i="5"/>
  <c r="B421" i="5"/>
  <c r="B420" i="5"/>
  <c r="B419" i="5"/>
  <c r="B418" i="5"/>
  <c r="B417" i="5"/>
  <c r="B416" i="5"/>
  <c r="B414" i="5"/>
  <c r="B413" i="5"/>
  <c r="B412" i="5"/>
  <c r="B411" i="5"/>
  <c r="B410" i="5"/>
  <c r="B409" i="5"/>
  <c r="B408" i="5"/>
  <c r="B407" i="5"/>
  <c r="B406" i="5"/>
  <c r="B405" i="5"/>
  <c r="B404" i="5"/>
  <c r="B403" i="5"/>
  <c r="B402" i="5"/>
  <c r="B401" i="5"/>
  <c r="B400" i="5"/>
  <c r="B399" i="5"/>
  <c r="B398" i="5"/>
  <c r="B397" i="5"/>
  <c r="B396" i="5"/>
  <c r="B395" i="5"/>
  <c r="B394" i="5"/>
  <c r="B393" i="5"/>
  <c r="B392" i="5"/>
  <c r="B391" i="5"/>
  <c r="B390" i="5"/>
  <c r="B389" i="5"/>
  <c r="B388" i="5"/>
  <c r="B387" i="5"/>
  <c r="B386" i="5"/>
  <c r="B385" i="5"/>
  <c r="B384" i="5"/>
  <c r="B383" i="5"/>
  <c r="B382" i="5"/>
  <c r="B381" i="5"/>
  <c r="B380" i="5"/>
  <c r="B379" i="5"/>
  <c r="B378" i="5"/>
  <c r="B377" i="5"/>
  <c r="B376" i="5"/>
  <c r="B375" i="5"/>
  <c r="B374" i="5"/>
  <c r="B373" i="5"/>
  <c r="B372" i="5"/>
  <c r="B371" i="5"/>
  <c r="B370" i="5"/>
  <c r="B369" i="5"/>
  <c r="B368" i="5"/>
  <c r="B367" i="5"/>
  <c r="B366" i="5"/>
  <c r="B365" i="5"/>
  <c r="B364" i="5"/>
  <c r="B363" i="5"/>
  <c r="B362" i="5"/>
  <c r="B361" i="5"/>
  <c r="B360" i="5"/>
  <c r="B358" i="5"/>
  <c r="B357" i="5"/>
  <c r="B356" i="5"/>
  <c r="B355" i="5"/>
  <c r="B354" i="5"/>
  <c r="B353" i="5"/>
  <c r="B352" i="5"/>
  <c r="B351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36" i="5"/>
  <c r="B319" i="5"/>
  <c r="B318" i="5"/>
  <c r="B317" i="5"/>
  <c r="B316" i="5"/>
  <c r="B315" i="5"/>
  <c r="B314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5" i="5"/>
  <c r="B184" i="5"/>
  <c r="B183" i="5"/>
  <c r="B182" i="5"/>
  <c r="B181" i="5"/>
  <c r="B180" i="5"/>
  <c r="B179" i="5"/>
  <c r="B178" i="5"/>
  <c r="B177" i="5"/>
  <c r="B176" i="5"/>
  <c r="B175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4" i="5"/>
  <c r="B133" i="5"/>
  <c r="B132" i="5"/>
  <c r="B131" i="5"/>
  <c r="B130" i="5"/>
  <c r="B129" i="5"/>
  <c r="B128" i="5"/>
  <c r="B127" i="5"/>
  <c r="B126" i="5"/>
  <c r="B125" i="5"/>
  <c r="B123" i="5"/>
  <c r="B122" i="5"/>
  <c r="B121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359" i="5"/>
</calcChain>
</file>

<file path=xl/sharedStrings.xml><?xml version="1.0" encoding="utf-8"?>
<sst xmlns="http://schemas.openxmlformats.org/spreadsheetml/2006/main" count="59" uniqueCount="59">
  <si>
    <t>Security Description</t>
  </si>
  <si>
    <t>PFIZER INCORPORATED COMMON STOCK USD0.05</t>
  </si>
  <si>
    <t>QINETIQ GROUP PLC ORDINARY 1P</t>
  </si>
  <si>
    <t>PROVIDENT FINANCIAL PLC ORDINARY 20.727272P</t>
  </si>
  <si>
    <t>MORRISON (WM.) SUPERMARKETS ORDINARY 10P</t>
  </si>
  <si>
    <t>VODAFONE GROUP PLC ORDINARY USD0.2095238</t>
  </si>
  <si>
    <t>DRAX GROUP PLC ORDINARY 11.55172P</t>
  </si>
  <si>
    <t>SOUTH32 LIMITED NPV (LONDON LISTING)</t>
  </si>
  <si>
    <t>SISF AsianEqYield'C'Dis(IAEYC) MF</t>
  </si>
  <si>
    <t>ANGLO AMERICAN PLC ORDINARY USD0.54945</t>
  </si>
  <si>
    <t>SCHRODER UTL GLOBAL CITIES REAL ESTATE INCOME FUND GBP X INCOME</t>
  </si>
  <si>
    <t>SCHRODER INSTITUTIONAL STERLING BROAD MARKET BOND I INC</t>
  </si>
  <si>
    <t>SISFGbHghYldHd'C'GBPDis(NGHYC) QV</t>
  </si>
  <si>
    <t>GBP Income Receivables</t>
  </si>
  <si>
    <t>USD Income Receivables</t>
  </si>
  <si>
    <t>SCHRODER INDIRECT REAL ESTATE FUND (A UNITS)</t>
  </si>
  <si>
    <t>Net Open Forwards EUR</t>
  </si>
  <si>
    <t>Net Open Forwards USD</t>
  </si>
  <si>
    <t xml:space="preserve">Market Value </t>
  </si>
  <si>
    <t>Quantity</t>
  </si>
  <si>
    <t>MERCK AND COMPANY INCORPORATED NEW COMMON STOCK USD0.01</t>
  </si>
  <si>
    <t>HP INCORPORATED COMMON STOCK USD0.01</t>
  </si>
  <si>
    <t>INTEL CORPORATION COMMON STOCK USD0.001</t>
  </si>
  <si>
    <t>ORGANON &amp; CO WHEN ISSUE</t>
  </si>
  <si>
    <t>VIATRIS INCORPORATED NPV</t>
  </si>
  <si>
    <t>BP PLC ORDINARY USD0.25</t>
  </si>
  <si>
    <t>BAE SYSTEMS PLC ORDINARY 2.5P</t>
  </si>
  <si>
    <t>ROLLS-ROYCE HOLDINGS PLC ORDINARY 20P</t>
  </si>
  <si>
    <t>ROYAL MAIL PLC ORDINARY 1P</t>
  </si>
  <si>
    <t>ITV PLC ORDINARY 10P</t>
  </si>
  <si>
    <t>PEARSON PLC ORDINARY 25P</t>
  </si>
  <si>
    <t>WPP PLC ORDINARY 10P</t>
  </si>
  <si>
    <t>Marks &amp; Spencer Group</t>
  </si>
  <si>
    <t>GLAXOSMITHKLINE PLC ORDINARY 25P</t>
  </si>
  <si>
    <t>SAINSBURY (J.) PLC ORDINARY 28.571428P</t>
  </si>
  <si>
    <t>BT GROUP PLC ORDINARY 5P</t>
  </si>
  <si>
    <t>CENTRICA PLC ORDINARY 6.1728395P</t>
  </si>
  <si>
    <t>BARCLAYS PLC ORDINARY 25P</t>
  </si>
  <si>
    <t>HSBC HOLDINGS PLC USD0.50 (LONDON LISTING)</t>
  </si>
  <si>
    <t>LLOYDS BANKING GROUP PLC ORDINARY 10P</t>
  </si>
  <si>
    <t>NATWEST GROUP PLC ORDINARY GBP1</t>
  </si>
  <si>
    <t>STANDARD CHARTERED PLC ORDINARY USD0.50</t>
  </si>
  <si>
    <t>M&amp;G PLC GBP0.05</t>
  </si>
  <si>
    <t>AVIVA PLC ORDINARY 25P</t>
  </si>
  <si>
    <t>LEGAL AND GENERAL GROUP PLC ORDINARY 2.5P</t>
  </si>
  <si>
    <t>LAND SECURITIES GROUP PUBLIC LIMITED COMPANY REIT 10.66667P</t>
  </si>
  <si>
    <t>TESCO PLC 6.33333P</t>
  </si>
  <si>
    <t>TP ICAP GROUP PLC ORDINARY 25P</t>
  </si>
  <si>
    <t>SANOFI EUR2</t>
  </si>
  <si>
    <t>ROYAL DUTCH SHELL PLC A SHARES EUR0.07 (UK LISTING)</t>
  </si>
  <si>
    <t>ROYAL DUTCH SHELL PLC B SHARES EUR0.07 (UK LISTING)</t>
  </si>
  <si>
    <t>EUR Cash</t>
  </si>
  <si>
    <t>GBP Cash</t>
  </si>
  <si>
    <t>USD Cash</t>
  </si>
  <si>
    <t>ZAR Cash</t>
  </si>
  <si>
    <t>Total Value</t>
  </si>
  <si>
    <t>ENDOWMENT ASSETS</t>
  </si>
  <si>
    <t>At 31st July 2021</t>
  </si>
  <si>
    <t>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</si>
</sst>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b/>
      <sz val="10"/>
      <color theme="1"/>
      <name val="Frutiger 45 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Font="1"/>
    <xf numFmtId="0" fontId="3" fillId="0" borderId="0" xfId="0" applyFont="1"/>
    <xf numFmtId="0" fontId="4" fillId="0" borderId="0" xfId="0" applyFont="1"/>
    <xf numFmtId="3" fontId="5" fillId="0" borderId="0" xfId="1" applyNumberFormat="1" applyFont="1" applyAlignment="1">
      <alignment horizontal="center"/>
    </xf>
    <xf numFmtId="164" fontId="4" fillId="0" borderId="0" xfId="1" applyNumberFormat="1" applyFont="1" applyBorder="1"/>
    <xf numFmtId="164" fontId="4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5CAF9-14B2-4AEB-97FF-F433948CAC11}">
  <dimension ref="B1:D1182"/>
  <sheetViews>
    <sheetView tabSelected="1" topLeftCell="A1118" workbookViewId="0">
      <selection activeCell="D1142" sqref="D1142"/>
    </sheetView>
  </sheetViews>
  <sheetFormatPr defaultRowHeight="15"/>
  <cols>
    <col min="1" max="1" width="5.7109375" customWidth="1"/>
    <col min="2" max="2" width="65.7109375" customWidth="1"/>
    <col min="3" max="3" width="12.7109375" customWidth="1"/>
    <col min="4" max="4" width="18.7109375" customWidth="1"/>
  </cols>
  <sheetData>
    <row r="1" spans="2:4">
      <c r="B1" s="3" t="s">
        <v>56</v>
      </c>
      <c r="C1" s="4"/>
      <c r="D1" s="4"/>
    </row>
    <row r="2" spans="2:4">
      <c r="B2" s="3" t="s">
        <v>57</v>
      </c>
      <c r="C2" s="4"/>
      <c r="D2" s="4"/>
    </row>
    <row r="4" spans="2:4">
      <c r="B4" s="1" t="s">
        <v>0</v>
      </c>
      <c r="C4" s="1" t="s">
        <v>19</v>
      </c>
      <c r="D4" s="1" t="s">
        <v>18</v>
      </c>
    </row>
    <row r="5" spans="2:4">
      <c r="B5" s="4"/>
      <c r="C5" s="4"/>
      <c r="D5" s="5" t="s">
        <v>58</v>
      </c>
    </row>
    <row r="7" spans="2:4">
      <c r="B7" s="4" t="str">
        <f>"1ST QUANTUM MINLS COM NPV"</f>
        <v>1ST QUANTUM MINLS COM NPV</v>
      </c>
      <c r="C7" s="6">
        <v>1743</v>
      </c>
      <c r="D7" s="6">
        <v>26833.25</v>
      </c>
    </row>
    <row r="8" spans="2:4">
      <c r="B8" s="4" t="str">
        <f>"3I GROUP ORD GBP0.738636"</f>
        <v>3I GROUP ORD GBP0.738636</v>
      </c>
      <c r="C8" s="6">
        <v>3364</v>
      </c>
      <c r="D8" s="6">
        <v>43042.38</v>
      </c>
    </row>
    <row r="9" spans="2:4">
      <c r="B9" s="4" t="str">
        <f>"3M CO COM"</f>
        <v>3M CO COM</v>
      </c>
      <c r="C9" s="6">
        <v>1777</v>
      </c>
      <c r="D9" s="6">
        <v>252986.21</v>
      </c>
    </row>
    <row r="10" spans="2:4">
      <c r="B10" s="4" t="str">
        <f>"A.P. MOELLER-MAERSK SER'B'DKK1000"</f>
        <v>A.P. MOELLER-MAERSK SER'B'DKK1000</v>
      </c>
      <c r="C10" s="6">
        <v>33</v>
      </c>
      <c r="D10" s="6">
        <v>65893.850000000006</v>
      </c>
    </row>
    <row r="11" spans="2:4">
      <c r="B11" s="4" t="str">
        <f>"A.P. MOLLER-MAERSK 'A'DKK1000"</f>
        <v>A.P. MOLLER-MAERSK 'A'DKK1000</v>
      </c>
      <c r="C11" s="6">
        <v>27</v>
      </c>
      <c r="D11" s="6">
        <v>51916.37</v>
      </c>
    </row>
    <row r="12" spans="2:4">
      <c r="B12" s="4" t="str">
        <f>"ABB LTD CHF0.12 (REGD)"</f>
        <v>ABB LTD CHF0.12 (REGD)</v>
      </c>
      <c r="C12" s="6">
        <v>7171</v>
      </c>
      <c r="D12" s="6">
        <v>188540.67</v>
      </c>
    </row>
    <row r="13" spans="2:4">
      <c r="B13" s="4" t="str">
        <f>"ABBOTT LABS COM"</f>
        <v>ABBOTT LABS COM</v>
      </c>
      <c r="C13" s="6">
        <v>2527</v>
      </c>
      <c r="D13" s="6">
        <v>220579.74</v>
      </c>
    </row>
    <row r="14" spans="2:4">
      <c r="B14" s="4" t="str">
        <f>"ABBVIE INC COM USD0.01"</f>
        <v>ABBVIE INC COM USD0.01</v>
      </c>
      <c r="C14" s="6">
        <v>3981</v>
      </c>
      <c r="D14" s="6">
        <v>336166.65</v>
      </c>
    </row>
    <row r="15" spans="2:4">
      <c r="B15" s="4" t="str">
        <f>"ABN AMRO BANK N.V. DR EACH REP SHS"</f>
        <v>ABN AMRO BANK N.V. DR EACH REP SHS</v>
      </c>
      <c r="C15" s="6">
        <v>8121</v>
      </c>
      <c r="D15" s="6">
        <v>68036.34</v>
      </c>
    </row>
    <row r="16" spans="2:4">
      <c r="B16" s="4" t="str">
        <f>"ABRDN PLC ORD GBP0.1396825396"</f>
        <v>ABRDN PLC ORD GBP0.1396825396</v>
      </c>
      <c r="C16" s="6">
        <v>18971</v>
      </c>
      <c r="D16" s="6">
        <v>53877.64</v>
      </c>
    </row>
    <row r="17" spans="2:4">
      <c r="B17" s="4" t="str">
        <f>"ACCENTURE PLC SHS CL A 'NEW'"</f>
        <v>ACCENTURE PLC SHS CL A 'NEW'</v>
      </c>
      <c r="C17" s="6">
        <v>996</v>
      </c>
      <c r="D17" s="6">
        <v>228205.66999999998</v>
      </c>
    </row>
    <row r="18" spans="2:4">
      <c r="B18" s="4" t="str">
        <f>"ACS ACTIVIDADES CO EUR0.5"</f>
        <v>ACS ACTIVIDADES CO EUR0.5</v>
      </c>
      <c r="C18" s="6">
        <v>3543</v>
      </c>
      <c r="D18" s="6">
        <v>66961.97</v>
      </c>
    </row>
    <row r="19" spans="2:4">
      <c r="B19" s="4" t="str">
        <f>"ACTIVISION BLIZZAR COM STK USD0.000001"</f>
        <v>ACTIVISION BLIZZAR COM STK USD0.000001</v>
      </c>
      <c r="C19" s="6">
        <v>909</v>
      </c>
      <c r="D19" s="6">
        <v>54670.1</v>
      </c>
    </row>
    <row r="20" spans="2:4">
      <c r="B20" s="4" t="str">
        <f>"ADECCO GROUP AG CHF0.1 (REGD)"</f>
        <v>ADECCO GROUP AG CHF0.1 (REGD)</v>
      </c>
      <c r="C20" s="6">
        <v>1496</v>
      </c>
      <c r="D20" s="6">
        <v>64442.93</v>
      </c>
    </row>
    <row r="21" spans="2:4">
      <c r="B21" s="4" t="str">
        <f>"ADIDAS AG NPV (REGD)"</f>
        <v>ADIDAS AG NPV (REGD)</v>
      </c>
      <c r="C21" s="6">
        <v>353</v>
      </c>
      <c r="D21" s="6">
        <v>92156.37</v>
      </c>
    </row>
    <row r="22" spans="2:4">
      <c r="B22" s="4" t="str">
        <f>"ADIENT PLC COM USD0.001"</f>
        <v>ADIENT PLC COM USD0.001</v>
      </c>
      <c r="C22" s="6">
        <v>1162</v>
      </c>
      <c r="D22" s="6">
        <v>35210.6</v>
      </c>
    </row>
    <row r="23" spans="2:4">
      <c r="B23" s="4" t="str">
        <f>"ADOBE INC COM USD0.0001"</f>
        <v>ADOBE INC COM USD0.0001</v>
      </c>
      <c r="C23" s="6">
        <v>154</v>
      </c>
      <c r="D23" s="6">
        <v>68853.899999999994</v>
      </c>
    </row>
    <row r="24" spans="2:4">
      <c r="B24" s="4" t="str">
        <f>"ADVANCE AUTO PARTS COM USD0.0001"</f>
        <v>ADVANCE AUTO PARTS COM USD0.0001</v>
      </c>
      <c r="C24" s="6">
        <v>184</v>
      </c>
      <c r="D24" s="6">
        <v>28064.19</v>
      </c>
    </row>
    <row r="25" spans="2:4">
      <c r="B25" s="4" t="str">
        <f>"AECOM TECHNOLOGY C COM STK USD0.01"</f>
        <v>AECOM TECHNOLOGY C COM STK USD0.01</v>
      </c>
      <c r="C25" s="6">
        <v>900</v>
      </c>
      <c r="D25" s="6">
        <v>40755.21</v>
      </c>
    </row>
    <row r="26" spans="2:4">
      <c r="B26" s="4" t="str">
        <f>"AEGON NV EUR0.12"</f>
        <v>AEGON NV EUR0.12</v>
      </c>
      <c r="C26" s="6">
        <v>31829</v>
      </c>
      <c r="D26" s="6">
        <v>97563.73</v>
      </c>
    </row>
    <row r="27" spans="2:4">
      <c r="B27" s="4" t="str">
        <f>"AENA SME S.A. EUR10"</f>
        <v>AENA SME S.A. EUR10</v>
      </c>
      <c r="C27" s="6">
        <v>192</v>
      </c>
      <c r="D27" s="6">
        <v>21975.62</v>
      </c>
    </row>
    <row r="28" spans="2:4">
      <c r="B28" s="4" t="str">
        <f>"AEON CO LTD NPV"</f>
        <v>AEON CO LTD NPV</v>
      </c>
      <c r="C28" s="6">
        <v>3100</v>
      </c>
      <c r="D28" s="6">
        <v>60683.17</v>
      </c>
    </row>
    <row r="29" spans="2:4">
      <c r="B29" s="4" t="str">
        <f>"AERCAP HOLDINGS EUR0.01"</f>
        <v>AERCAP HOLDINGS EUR0.01</v>
      </c>
      <c r="C29" s="6">
        <v>1607</v>
      </c>
      <c r="D29" s="6">
        <v>61258.68</v>
      </c>
    </row>
    <row r="30" spans="2:4">
      <c r="B30" s="4" t="str">
        <f>"AES CORP COM"</f>
        <v>AES CORP COM</v>
      </c>
      <c r="C30" s="6">
        <v>4319</v>
      </c>
      <c r="D30" s="6">
        <v>74019.360000000001</v>
      </c>
    </row>
    <row r="31" spans="2:4">
      <c r="B31" s="4" t="str">
        <f>"AFLAC INC COM USD0.10"</f>
        <v>AFLAC INC COM USD0.10</v>
      </c>
      <c r="C31" s="6">
        <v>3629</v>
      </c>
      <c r="D31" s="6">
        <v>143557.38</v>
      </c>
    </row>
    <row r="32" spans="2:4">
      <c r="B32" s="4" t="str">
        <f>"AGC INC NPV"</f>
        <v>AGC INC NPV</v>
      </c>
      <c r="C32" s="6">
        <v>1800</v>
      </c>
      <c r="D32" s="6">
        <v>55728.759999999995</v>
      </c>
    </row>
    <row r="33" spans="2:4">
      <c r="B33" s="4" t="str">
        <f>"AGEAS NPV"</f>
        <v>AGEAS NPV</v>
      </c>
      <c r="C33" s="6">
        <v>1534</v>
      </c>
      <c r="D33" s="6">
        <v>58298.559999999998</v>
      </c>
    </row>
    <row r="34" spans="2:4">
      <c r="B34" s="4" t="str">
        <f>"AGILENT TECHNOLOGIES INC COM"</f>
        <v>AGILENT TECHNOLOGIES INC COM</v>
      </c>
      <c r="C34" s="6">
        <v>349</v>
      </c>
      <c r="D34" s="6">
        <v>38463.17</v>
      </c>
    </row>
    <row r="35" spans="2:4">
      <c r="B35" s="4" t="str">
        <f>"AGL ENERGY NPV"</f>
        <v>AGL ENERGY NPV</v>
      </c>
      <c r="C35" s="6">
        <v>4335</v>
      </c>
      <c r="D35" s="6">
        <v>16569.91</v>
      </c>
    </row>
    <row r="36" spans="2:4">
      <c r="B36" s="4" t="str">
        <f>"AGNC INV CORP COM USD0.01"</f>
        <v>AGNC INV CORP COM USD0.01</v>
      </c>
      <c r="C36" s="6">
        <v>2479</v>
      </c>
      <c r="D36" s="6">
        <v>28446.059999999998</v>
      </c>
    </row>
    <row r="37" spans="2:4">
      <c r="B37" s="4" t="str">
        <f>"AIA GROUP LTD NPV"</f>
        <v>AIA GROUP LTD NPV</v>
      </c>
      <c r="C37" s="6">
        <v>26600</v>
      </c>
      <c r="D37" s="6">
        <v>229202.36</v>
      </c>
    </row>
    <row r="38" spans="2:4">
      <c r="B38" s="4" t="str">
        <f>"AIR CANADA VAR VTG SHS NPV"</f>
        <v>AIR CANADA VAR VTG SHS NPV</v>
      </c>
      <c r="C38" s="6">
        <v>698</v>
      </c>
      <c r="D38" s="6">
        <v>10045.870000000001</v>
      </c>
    </row>
    <row r="39" spans="2:4">
      <c r="B39" s="4" t="str">
        <f>"AIR FRANCE-KLM EUR1.00"</f>
        <v>AIR FRANCE-KLM EUR1.00</v>
      </c>
      <c r="C39" s="6">
        <v>10292</v>
      </c>
      <c r="D39" s="6">
        <v>34400.31</v>
      </c>
    </row>
    <row r="40" spans="2:4">
      <c r="B40" s="4" t="str">
        <f>"AIR LIQUIDE(L') EUR5.5 (POST-SUBDIVISION)"</f>
        <v>AIR LIQUIDE(L') EUR5.5 (POST-SUBDIVISION)</v>
      </c>
      <c r="C40" s="6">
        <v>1290</v>
      </c>
      <c r="D40" s="6">
        <v>161269.31</v>
      </c>
    </row>
    <row r="41" spans="2:4">
      <c r="B41" s="4" t="str">
        <f>"AIR PRODS &amp; CHEMS COM USD1"</f>
        <v>AIR PRODS &amp; CHEMS COM USD1</v>
      </c>
      <c r="C41" s="6">
        <v>416</v>
      </c>
      <c r="D41" s="6">
        <v>87459.19</v>
      </c>
    </row>
    <row r="42" spans="2:4">
      <c r="B42" s="4" t="str">
        <f>"AIRBUS EUR1"</f>
        <v>AIRBUS EUR1</v>
      </c>
      <c r="C42" s="6">
        <v>1838</v>
      </c>
      <c r="D42" s="6">
        <v>181370.3</v>
      </c>
    </row>
    <row r="43" spans="2:4">
      <c r="B43" s="4" t="str">
        <f>"AISIN CORPORATION NPV"</f>
        <v>AISIN CORPORATION NPV</v>
      </c>
      <c r="C43" s="6">
        <v>600</v>
      </c>
      <c r="D43" s="6">
        <v>17360.14</v>
      </c>
    </row>
    <row r="44" spans="2:4">
      <c r="B44" s="4" t="str">
        <f>"AJINOMOTO CO INC NPV"</f>
        <v>AJINOMOTO CO INC NPV</v>
      </c>
      <c r="C44" s="6">
        <v>2400</v>
      </c>
      <c r="D44" s="6">
        <v>43819.12</v>
      </c>
    </row>
    <row r="45" spans="2:4">
      <c r="B45" s="4" t="str">
        <f>"AKZO NOBEL NV EUR0.50(POST REV SPLIT)"</f>
        <v>AKZO NOBEL NV EUR0.50(POST REV SPLIT)</v>
      </c>
      <c r="C45" s="6">
        <v>1055</v>
      </c>
      <c r="D45" s="6">
        <v>93667.839999999997</v>
      </c>
    </row>
    <row r="46" spans="2:4">
      <c r="B46" s="4" t="str">
        <f>"ALCOA CORP COM USD0.01"</f>
        <v>ALCOA CORP COM USD0.01</v>
      </c>
      <c r="C46" s="6">
        <v>2272</v>
      </c>
      <c r="D46" s="6">
        <v>65609.95</v>
      </c>
    </row>
    <row r="47" spans="2:4">
      <c r="B47" s="4" t="str">
        <f>"ALCON AG CHF0.04"</f>
        <v>ALCON AG CHF0.04</v>
      </c>
      <c r="C47" s="6">
        <v>1450</v>
      </c>
      <c r="D47" s="6">
        <v>75947.91</v>
      </c>
    </row>
    <row r="48" spans="2:4">
      <c r="B48" s="4" t="str">
        <f>"ALEXANDRIA REAL ESTATE EQ INC COM"</f>
        <v>ALEXANDRIA REAL ESTATE EQ INC COM</v>
      </c>
      <c r="C48" s="6">
        <v>219</v>
      </c>
      <c r="D48" s="6">
        <v>31713.93</v>
      </c>
    </row>
    <row r="49" spans="2:4">
      <c r="B49" s="4" t="str">
        <f>"ALIMENTATION COUCHE TARD INC SUB VTG SH"</f>
        <v>ALIMENTATION COUCHE TARD INC SUB VTG SH</v>
      </c>
      <c r="C49" s="6">
        <v>3650</v>
      </c>
      <c r="D49" s="6">
        <v>105758.19</v>
      </c>
    </row>
    <row r="50" spans="2:4">
      <c r="B50" s="4" t="str">
        <f>"ALLEGHANY CORP DEL COM"</f>
        <v>ALLEGHANY CORP DEL COM</v>
      </c>
      <c r="C50" s="6">
        <v>66</v>
      </c>
      <c r="D50" s="6">
        <v>31477.4</v>
      </c>
    </row>
    <row r="51" spans="2:4">
      <c r="B51" s="4" t="str">
        <f>"ALLIANCE DATA SYST COM USD0.01"</f>
        <v>ALLIANCE DATA SYST COM USD0.01</v>
      </c>
      <c r="C51" s="6">
        <v>137</v>
      </c>
      <c r="D51" s="6">
        <v>9188.51</v>
      </c>
    </row>
    <row r="52" spans="2:4">
      <c r="B52" s="4" t="str">
        <f>"ALLIANT ENERGY CORP COM"</f>
        <v>ALLIANT ENERGY CORP COM</v>
      </c>
      <c r="C52" s="6">
        <v>1025</v>
      </c>
      <c r="D52" s="6">
        <v>43401.97</v>
      </c>
    </row>
    <row r="53" spans="2:4">
      <c r="B53" s="4" t="str">
        <f>"ALLIANZ SE NPV(REGD)(VINKULIERT)"</f>
        <v>ALLIANZ SE NPV(REGD)(VINKULIERT)</v>
      </c>
      <c r="C53" s="6">
        <v>2869</v>
      </c>
      <c r="D53" s="6">
        <v>513850.93</v>
      </c>
    </row>
    <row r="54" spans="2:4">
      <c r="B54" s="4" t="str">
        <f>"ALLSTATE CORP COM"</f>
        <v>ALLSTATE CORP COM</v>
      </c>
      <c r="C54" s="6">
        <v>1750</v>
      </c>
      <c r="D54" s="6">
        <v>163690.79999999999</v>
      </c>
    </row>
    <row r="55" spans="2:4">
      <c r="B55" s="4" t="str">
        <f>"ALLY FINANCIAL INC COM USD0.01"</f>
        <v>ALLY FINANCIAL INC COM USD0.01</v>
      </c>
      <c r="C55" s="6">
        <v>3620</v>
      </c>
      <c r="D55" s="6">
        <v>134277.31</v>
      </c>
    </row>
    <row r="56" spans="2:4">
      <c r="B56" s="4" t="str">
        <f>"ALPHABET INC CAP STK USD0.001 CL A"</f>
        <v>ALPHABET INC CAP STK USD0.001 CL A</v>
      </c>
      <c r="C56" s="6">
        <v>297</v>
      </c>
      <c r="D56" s="6">
        <v>575592.77</v>
      </c>
    </row>
    <row r="57" spans="2:4">
      <c r="B57" s="4" t="str">
        <f>"ALPHABET INC CAP STK USD0.001 CL C"</f>
        <v>ALPHABET INC CAP STK USD0.001 CL C</v>
      </c>
      <c r="C57" s="6">
        <v>297</v>
      </c>
      <c r="D57" s="6">
        <v>577705.43000000005</v>
      </c>
    </row>
    <row r="58" spans="2:4">
      <c r="B58" s="4" t="str">
        <f>"ALTICE USA INC COM USD0.01 CL A"</f>
        <v>ALTICE USA INC COM USD0.01 CL A</v>
      </c>
      <c r="C58" s="6">
        <v>1481</v>
      </c>
      <c r="D58" s="6">
        <v>32733.58</v>
      </c>
    </row>
    <row r="59" spans="2:4">
      <c r="B59" s="4" t="str">
        <f>"AMADEUS IT GROUP EUR0.01"</f>
        <v>AMADEUS IT GROUP EUR0.01</v>
      </c>
      <c r="C59" s="6">
        <v>791</v>
      </c>
      <c r="D59" s="6">
        <v>37266.400000000001</v>
      </c>
    </row>
    <row r="60" spans="2:4">
      <c r="B60" s="4" t="str">
        <f>"AMAZON COM INC COM USD0.01"</f>
        <v>AMAZON COM INC COM USD0.01</v>
      </c>
      <c r="C60" s="6">
        <v>226</v>
      </c>
      <c r="D60" s="6">
        <v>540896.42000000004</v>
      </c>
    </row>
    <row r="61" spans="2:4">
      <c r="B61" s="4" t="str">
        <f>"AMCOR PLC CDI 1:1"</f>
        <v>AMCOR PLC CDI 1:1</v>
      </c>
      <c r="C61" s="6">
        <v>4225</v>
      </c>
      <c r="D61" s="6">
        <v>35180.339999999997</v>
      </c>
    </row>
    <row r="62" spans="2:4">
      <c r="B62" s="4" t="str">
        <f>"AMER ELEC PWR INC COM USD6.50"</f>
        <v>AMER ELEC PWR INC COM USD6.50</v>
      </c>
      <c r="C62" s="6">
        <v>2572</v>
      </c>
      <c r="D62" s="6">
        <v>163012.65</v>
      </c>
    </row>
    <row r="63" spans="2:4">
      <c r="B63" s="4" t="str">
        <f>"AMER EXPRESS CO COM USD0.20"</f>
        <v>AMER EXPRESS CO COM USD0.20</v>
      </c>
      <c r="C63" s="6">
        <v>1971</v>
      </c>
      <c r="D63" s="6">
        <v>242266.35</v>
      </c>
    </row>
    <row r="64" spans="2:4">
      <c r="B64" s="4" t="str">
        <f>"AMER FINL GP OHIO COM NPV"</f>
        <v>AMER FINL GP OHIO COM NPV</v>
      </c>
      <c r="C64" s="6">
        <v>534</v>
      </c>
      <c r="D64" s="6">
        <v>49234.7</v>
      </c>
    </row>
    <row r="65" spans="2:4">
      <c r="B65" s="4" t="str">
        <f>"AMER INTL GRP COM USD2.50"</f>
        <v>AMER INTL GRP COM USD2.50</v>
      </c>
      <c r="C65" s="6">
        <v>8111</v>
      </c>
      <c r="D65" s="6">
        <v>276229.62</v>
      </c>
    </row>
    <row r="66" spans="2:4">
      <c r="B66" s="4" t="str">
        <f>"AMER TOWER CORP COM NEW USD0.01"</f>
        <v>AMER TOWER CORP COM NEW USD0.01</v>
      </c>
      <c r="C66" s="6">
        <v>522</v>
      </c>
      <c r="D66" s="6">
        <v>106175.86</v>
      </c>
    </row>
    <row r="67" spans="2:4">
      <c r="B67" s="4" t="str">
        <f>"AMEREN CORP COM"</f>
        <v>AMEREN CORP COM</v>
      </c>
      <c r="C67" s="6">
        <v>1060</v>
      </c>
      <c r="D67" s="6">
        <v>63980.44</v>
      </c>
    </row>
    <row r="68" spans="2:4">
      <c r="B68" s="4" t="str">
        <f>"AMERICAN AIRLINES COM USD1"</f>
        <v>AMERICAN AIRLINES COM USD1</v>
      </c>
      <c r="C68" s="6">
        <v>2957</v>
      </c>
      <c r="D68" s="6">
        <v>43344.24</v>
      </c>
    </row>
    <row r="69" spans="2:4">
      <c r="B69" s="4" t="str">
        <f>"AMERICAN WATER WOR COM STK USD0.01"</f>
        <v>AMERICAN WATER WOR COM STK USD0.01</v>
      </c>
      <c r="C69" s="6">
        <v>444</v>
      </c>
      <c r="D69" s="6">
        <v>54323.62</v>
      </c>
    </row>
    <row r="70" spans="2:4">
      <c r="B70" s="4" t="str">
        <f>"AMERIPRISE FINL INC COM"</f>
        <v>AMERIPRISE FINL INC COM</v>
      </c>
      <c r="C70" s="6">
        <v>540</v>
      </c>
      <c r="D70" s="6">
        <v>100034.09</v>
      </c>
    </row>
    <row r="71" spans="2:4">
      <c r="B71" s="4" t="str">
        <f>"AMERISOURCEBERGEN COM STK USD0.01"</f>
        <v>AMERISOURCEBERGEN COM STK USD0.01</v>
      </c>
      <c r="C71" s="6">
        <v>1869</v>
      </c>
      <c r="D71" s="6">
        <v>164228.96</v>
      </c>
    </row>
    <row r="72" spans="2:4">
      <c r="B72" s="4" t="str">
        <f>"AMGEN INC COM USD0.0001"</f>
        <v>AMGEN INC COM USD0.0001</v>
      </c>
      <c r="C72" s="6">
        <v>1559</v>
      </c>
      <c r="D72" s="6">
        <v>270838.90000000002</v>
      </c>
    </row>
    <row r="73" spans="2:4">
      <c r="B73" s="4" t="str">
        <f>"AMPHENOL CORP NEW CL A"</f>
        <v>AMPHENOL CORP NEW CL A</v>
      </c>
      <c r="C73" s="6">
        <v>522</v>
      </c>
      <c r="D73" s="6">
        <v>27216.01</v>
      </c>
    </row>
    <row r="74" spans="2:4">
      <c r="B74" s="4" t="str">
        <f>"AMPOL LTD NPV"</f>
        <v>AMPOL LTD NPV</v>
      </c>
      <c r="C74" s="6">
        <v>1637</v>
      </c>
      <c r="D74" s="6">
        <v>24448.93</v>
      </c>
    </row>
    <row r="75" spans="2:4">
      <c r="B75" s="4" t="str">
        <f>"ANALOG DEVICES INC COM"</f>
        <v>ANALOG DEVICES INC COM</v>
      </c>
      <c r="C75" s="6">
        <v>537</v>
      </c>
      <c r="D75" s="6">
        <v>64663.24</v>
      </c>
    </row>
    <row r="76" spans="2:4">
      <c r="B76" s="4" t="s">
        <v>9</v>
      </c>
      <c r="C76" s="6">
        <v>49115</v>
      </c>
      <c r="D76" s="6">
        <v>1567014.08</v>
      </c>
    </row>
    <row r="77" spans="2:4">
      <c r="B77" s="4" t="str">
        <f>"ANGLO AMERICAN USD0.54945"</f>
        <v>ANGLO AMERICAN USD0.54945</v>
      </c>
      <c r="C77" s="6">
        <v>2929</v>
      </c>
      <c r="D77" s="6">
        <v>93449.75</v>
      </c>
    </row>
    <row r="78" spans="2:4">
      <c r="B78" s="4" t="str">
        <f>"ANHEUSER-BUSCH IN NPV"</f>
        <v>ANHEUSER-BUSCH IN NPV</v>
      </c>
      <c r="C78" s="6">
        <v>4657</v>
      </c>
      <c r="D78" s="6">
        <v>212097.13</v>
      </c>
    </row>
    <row r="79" spans="2:4">
      <c r="B79" s="4" t="str">
        <f>"ANNALY CAPITAL MAN COM USD0.01"</f>
        <v>ANNALY CAPITAL MAN COM USD0.01</v>
      </c>
      <c r="C79" s="6">
        <v>7264</v>
      </c>
      <c r="D79" s="6">
        <v>44356.72</v>
      </c>
    </row>
    <row r="80" spans="2:4">
      <c r="B80" s="4" t="str">
        <f>"ANTERO RES CORP USD0.01"</f>
        <v>ANTERO RES CORP USD0.01</v>
      </c>
      <c r="C80" s="6">
        <v>4043</v>
      </c>
      <c r="D80" s="6">
        <v>39547.449999999997</v>
      </c>
    </row>
    <row r="81" spans="2:4">
      <c r="B81" s="4" t="str">
        <f>"ANTHEM INC COM USD0.01"</f>
        <v>ANTHEM INC COM USD0.01</v>
      </c>
      <c r="C81" s="6">
        <v>1025</v>
      </c>
      <c r="D81" s="6">
        <v>283101.56</v>
      </c>
    </row>
    <row r="82" spans="2:4">
      <c r="B82" s="4" t="str">
        <f>"AON PLC COM USD0.01 CL A"</f>
        <v>AON PLC COM USD0.01 CL A</v>
      </c>
      <c r="C82" s="6">
        <v>306</v>
      </c>
      <c r="D82" s="6">
        <v>57341.85</v>
      </c>
    </row>
    <row r="83" spans="2:4">
      <c r="B83" s="4" t="str">
        <f>"APA CORPORATION COM USD0.625"</f>
        <v>APA CORPORATION COM USD0.625</v>
      </c>
      <c r="C83" s="6">
        <v>1707</v>
      </c>
      <c r="D83" s="6">
        <v>23046.37</v>
      </c>
    </row>
    <row r="84" spans="2:4">
      <c r="B84" s="4" t="str">
        <f>"APA GROUP NPV"</f>
        <v>APA GROUP NPV</v>
      </c>
      <c r="C84" s="6">
        <v>3110</v>
      </c>
      <c r="D84" s="6">
        <v>16113.1</v>
      </c>
    </row>
    <row r="85" spans="2:4">
      <c r="B85" s="4" t="str">
        <f>"APPLE INC COM NPV"</f>
        <v>APPLE INC COM NPV</v>
      </c>
      <c r="C85" s="6">
        <v>17535</v>
      </c>
      <c r="D85" s="6">
        <v>1839576.44</v>
      </c>
    </row>
    <row r="86" spans="2:4">
      <c r="B86" s="4" t="str">
        <f>"APPLIED MATLS INC COM"</f>
        <v>APPLIED MATLS INC COM</v>
      </c>
      <c r="C86" s="6">
        <v>1138</v>
      </c>
      <c r="D86" s="6">
        <v>114532.56</v>
      </c>
    </row>
    <row r="87" spans="2:4">
      <c r="B87" s="4" t="str">
        <f>"APTIV PLC COM USD0.01"</f>
        <v>APTIV PLC COM USD0.01</v>
      </c>
      <c r="C87" s="6">
        <v>726</v>
      </c>
      <c r="D87" s="6">
        <v>87124.18</v>
      </c>
    </row>
    <row r="88" spans="2:4">
      <c r="B88" s="4" t="str">
        <f>"ARAMARK COM USD0.01"</f>
        <v>ARAMARK COM USD0.01</v>
      </c>
      <c r="C88" s="6">
        <v>1390</v>
      </c>
      <c r="D88" s="6">
        <v>35121.160000000003</v>
      </c>
    </row>
    <row r="89" spans="2:4">
      <c r="B89" s="4" t="str">
        <f>"ARCELORMITTAL NPV(POST STOCK SPLIT)"</f>
        <v>ARCELORMITTAL NPV(POST STOCK SPLIT)</v>
      </c>
      <c r="C89" s="6">
        <v>9356</v>
      </c>
      <c r="D89" s="6">
        <v>234398.81</v>
      </c>
    </row>
    <row r="90" spans="2:4">
      <c r="B90" s="4" t="str">
        <f>"ARCH CAPITAL GROUP COM USD0.01"</f>
        <v>ARCH CAPITAL GROUP COM USD0.01</v>
      </c>
      <c r="C90" s="6">
        <v>1269</v>
      </c>
      <c r="D90" s="6">
        <v>35596.07</v>
      </c>
    </row>
    <row r="91" spans="2:4">
      <c r="B91" s="4" t="str">
        <f>"ARCHER DANIELS MIDLAND CO COM"</f>
        <v>ARCHER DANIELS MIDLAND CO COM</v>
      </c>
      <c r="C91" s="6">
        <v>3984</v>
      </c>
      <c r="D91" s="6">
        <v>171125.6</v>
      </c>
    </row>
    <row r="92" spans="2:4">
      <c r="B92" s="4" t="str">
        <f>"ARKEMA EUR10"</f>
        <v>ARKEMA EUR10</v>
      </c>
      <c r="C92" s="6">
        <v>406</v>
      </c>
      <c r="D92" s="6">
        <v>37137.33</v>
      </c>
    </row>
    <row r="93" spans="2:4">
      <c r="B93" s="4" t="str">
        <f>"ARROW ELECTRS INC COM"</f>
        <v>ARROW ELECTRS INC COM</v>
      </c>
      <c r="C93" s="6">
        <v>805</v>
      </c>
      <c r="D93" s="6">
        <v>68650.95</v>
      </c>
    </row>
    <row r="94" spans="2:4">
      <c r="B94" s="4" t="str">
        <f>"ASAHI GROUP HLDGS NPV"</f>
        <v>ASAHI GROUP HLDGS NPV</v>
      </c>
      <c r="C94" s="6">
        <v>1400</v>
      </c>
      <c r="D94" s="6">
        <v>45477.3</v>
      </c>
    </row>
    <row r="95" spans="2:4">
      <c r="B95" s="4" t="str">
        <f>"ASAHI KASEI CORP NPV"</f>
        <v>ASAHI KASEI CORP NPV</v>
      </c>
      <c r="C95" s="6">
        <v>6500</v>
      </c>
      <c r="D95" s="6">
        <v>50563.3</v>
      </c>
    </row>
    <row r="96" spans="2:4">
      <c r="B96" s="4" t="str">
        <f>"ASHTEAD GROUP ORD GBP0.10"</f>
        <v>ASHTEAD GROUP ORD GBP0.10</v>
      </c>
      <c r="C96" s="6">
        <v>947</v>
      </c>
      <c r="D96" s="6">
        <v>51005.42</v>
      </c>
    </row>
    <row r="97" spans="2:4">
      <c r="B97" s="4" t="str">
        <f>"ASML HOLDING NV EUR0.09"</f>
        <v>ASML HOLDING NV EUR0.09</v>
      </c>
      <c r="C97" s="6">
        <v>232</v>
      </c>
      <c r="D97" s="6">
        <v>126437.57</v>
      </c>
    </row>
    <row r="98" spans="2:4">
      <c r="B98" s="4" t="str">
        <f>"ASR NEDERLAND N.V. EUR0.16"</f>
        <v>ASR NEDERLAND N.V. EUR0.16</v>
      </c>
      <c r="C98" s="6">
        <v>1066</v>
      </c>
      <c r="D98" s="6">
        <v>31502.7</v>
      </c>
    </row>
    <row r="99" spans="2:4">
      <c r="B99" s="4" t="str">
        <f>"ASSA ABLOY SER'B'NPV (POST SPLIT)"</f>
        <v>ASSA ABLOY SER'B'NPV (POST SPLIT)</v>
      </c>
      <c r="C99" s="6">
        <v>1892</v>
      </c>
      <c r="D99" s="6">
        <v>43667.46</v>
      </c>
    </row>
    <row r="100" spans="2:4">
      <c r="B100" s="4" t="str">
        <f>"ASSIC GENERALI SPA EUR1"</f>
        <v>ASSIC GENERALI SPA EUR1</v>
      </c>
      <c r="C100" s="6">
        <v>11755</v>
      </c>
      <c r="D100" s="6">
        <v>168931.19</v>
      </c>
    </row>
    <row r="101" spans="2:4">
      <c r="B101" s="4" t="str">
        <f>"ASSOCD BRIT FOODS ORD GBP0.0568"</f>
        <v>ASSOCD BRIT FOODS ORD GBP0.0568</v>
      </c>
      <c r="C101" s="6">
        <v>1293</v>
      </c>
      <c r="D101" s="6">
        <v>25950.51</v>
      </c>
    </row>
    <row r="102" spans="2:4">
      <c r="B102" s="4" t="str">
        <f>"ASSURANT INC COM"</f>
        <v>ASSURANT INC COM</v>
      </c>
      <c r="C102" s="6">
        <v>230</v>
      </c>
      <c r="D102" s="6">
        <v>26105.87</v>
      </c>
    </row>
    <row r="103" spans="2:4">
      <c r="B103" s="4" t="str">
        <f>"ASTELLAS PHARMA NPV"</f>
        <v>ASTELLAS PHARMA NPV</v>
      </c>
      <c r="C103" s="6">
        <v>6000</v>
      </c>
      <c r="D103" s="6">
        <v>68378.91</v>
      </c>
    </row>
    <row r="104" spans="2:4">
      <c r="B104" s="4" t="str">
        <f>"ASTRAZENECA ORD USD0.25"</f>
        <v>ASTRAZENECA ORD USD0.25</v>
      </c>
      <c r="C104" s="6">
        <v>3561</v>
      </c>
      <c r="D104" s="6">
        <v>294423.48</v>
      </c>
    </row>
    <row r="105" spans="2:4">
      <c r="B105" s="4" t="str">
        <f>"AT&amp;T INC COM USD1"</f>
        <v>AT&amp;T INC COM USD1</v>
      </c>
      <c r="C105" s="6">
        <v>60941</v>
      </c>
      <c r="D105" s="6">
        <v>1248844.51</v>
      </c>
    </row>
    <row r="106" spans="2:4">
      <c r="B106" s="4" t="str">
        <f>"ATHENE HOLDING LTD COM USD0.001 CL A"</f>
        <v>ATHENE HOLDING LTD COM USD0.001 CL A</v>
      </c>
      <c r="C106" s="6">
        <v>1127</v>
      </c>
      <c r="D106" s="6">
        <v>52380.15</v>
      </c>
    </row>
    <row r="107" spans="2:4">
      <c r="B107" s="4" t="str">
        <f>"ATLANTIA SPA EUR1"</f>
        <v>ATLANTIA SPA EUR1</v>
      </c>
      <c r="C107" s="6">
        <v>3587</v>
      </c>
      <c r="D107" s="6">
        <v>46806.93</v>
      </c>
    </row>
    <row r="108" spans="2:4">
      <c r="B108" s="4" t="str">
        <f>"ATLAS COPCO AB SER'A'NPV (POST SPLIT)"</f>
        <v>ATLAS COPCO AB SER'A'NPV (POST SPLIT)</v>
      </c>
      <c r="C108" s="6">
        <v>1255</v>
      </c>
      <c r="D108" s="6">
        <v>61057.23</v>
      </c>
    </row>
    <row r="109" spans="2:4">
      <c r="B109" s="4" t="str">
        <f>"ATLAS COPCO AB SER'B'NPV (POST SPLIT)"</f>
        <v>ATLAS COPCO AB SER'B'NPV (POST SPLIT)</v>
      </c>
      <c r="C109" s="6">
        <v>729</v>
      </c>
      <c r="D109" s="6">
        <v>29793.26</v>
      </c>
    </row>
    <row r="110" spans="2:4">
      <c r="B110" s="4" t="str">
        <f>"ATMOS ENERGY CORP COM"</f>
        <v>ATMOS ENERGY CORP COM</v>
      </c>
      <c r="C110" s="6">
        <v>565</v>
      </c>
      <c r="D110" s="6">
        <v>40064.26</v>
      </c>
    </row>
    <row r="111" spans="2:4">
      <c r="B111" s="4" t="str">
        <f>"ATOS SE EUR1"</f>
        <v>ATOS SE EUR1</v>
      </c>
      <c r="C111" s="6">
        <v>560</v>
      </c>
      <c r="D111" s="6">
        <v>19257.32</v>
      </c>
    </row>
    <row r="112" spans="2:4">
      <c r="B112" s="4" t="str">
        <f>"AURIZON HOLDINGS NPV"</f>
        <v>AURIZON HOLDINGS NPV</v>
      </c>
      <c r="C112" s="6">
        <v>12829</v>
      </c>
      <c r="D112" s="6">
        <v>26180.19</v>
      </c>
    </row>
    <row r="113" spans="2:4">
      <c r="B113" s="4" t="str">
        <f>"AUST &amp; NZ BANK GRP NPV"</f>
        <v>AUST &amp; NZ BANK GRP NPV</v>
      </c>
      <c r="C113" s="6">
        <v>11560</v>
      </c>
      <c r="D113" s="6">
        <v>169350.74</v>
      </c>
    </row>
    <row r="114" spans="2:4">
      <c r="B114" s="4" t="str">
        <f>"AUTO DATA PROCESS COM USD0.10"</f>
        <v>AUTO DATA PROCESS COM USD0.10</v>
      </c>
      <c r="C114" s="6">
        <v>744</v>
      </c>
      <c r="D114" s="6">
        <v>112176.59</v>
      </c>
    </row>
    <row r="115" spans="2:4">
      <c r="B115" s="4" t="str">
        <f>"AUTONATION INC COM"</f>
        <v>AUTONATION INC COM</v>
      </c>
      <c r="C115" s="6">
        <v>837</v>
      </c>
      <c r="D115" s="6">
        <v>73041.47</v>
      </c>
    </row>
    <row r="116" spans="2:4">
      <c r="B116" s="4" t="str">
        <f>"AUTOZONE INC COM USD0.01"</f>
        <v>AUTOZONE INC COM USD0.01</v>
      </c>
      <c r="C116" s="6">
        <v>48</v>
      </c>
      <c r="D116" s="6">
        <v>56051.61</v>
      </c>
    </row>
    <row r="117" spans="2:4">
      <c r="B117" s="4" t="str">
        <f>"AVALONBAY COMMUNI COM USD0.01"</f>
        <v>AVALONBAY COMMUNI COM USD0.01</v>
      </c>
      <c r="C117" s="6">
        <v>433</v>
      </c>
      <c r="D117" s="6">
        <v>70953.64</v>
      </c>
    </row>
    <row r="118" spans="2:4">
      <c r="B118" s="4" t="str">
        <f>"AVIS BUDGET GROUP COM"</f>
        <v>AVIS BUDGET GROUP COM</v>
      </c>
      <c r="C118" s="6">
        <v>1078</v>
      </c>
      <c r="D118" s="6">
        <v>64175.25</v>
      </c>
    </row>
    <row r="119" spans="2:4">
      <c r="B119" s="4" t="str">
        <f>"AVIVA ORD GBP0.25"</f>
        <v>AVIVA ORD GBP0.25</v>
      </c>
      <c r="C119" s="6">
        <v>29097</v>
      </c>
      <c r="D119" s="6">
        <v>112692.68</v>
      </c>
    </row>
    <row r="120" spans="2:4">
      <c r="B120" s="4" t="s">
        <v>43</v>
      </c>
      <c r="C120" s="6">
        <v>536083</v>
      </c>
      <c r="D120" s="6">
        <v>2076249.46</v>
      </c>
    </row>
    <row r="121" spans="2:4">
      <c r="B121" s="4" t="str">
        <f>"AVNET INC COM"</f>
        <v>AVNET INC COM</v>
      </c>
      <c r="C121" s="6">
        <v>1463</v>
      </c>
      <c r="D121" s="6">
        <v>43479.1</v>
      </c>
    </row>
    <row r="122" spans="2:4">
      <c r="B122" s="4" t="str">
        <f>"AXA EUR2.29"</f>
        <v>AXA EUR2.29</v>
      </c>
      <c r="C122" s="6">
        <v>19131</v>
      </c>
      <c r="D122" s="6">
        <v>357003.35</v>
      </c>
    </row>
    <row r="123" spans="2:4">
      <c r="B123" s="4" t="str">
        <f>"BAE SYSTEMS ORD GBP0.025"</f>
        <v>BAE SYSTEMS ORD GBP0.025</v>
      </c>
      <c r="C123" s="6">
        <v>17076</v>
      </c>
      <c r="D123" s="6">
        <v>98357.759999999995</v>
      </c>
    </row>
    <row r="124" spans="2:4">
      <c r="B124" s="4" t="s">
        <v>26</v>
      </c>
      <c r="C124" s="6">
        <v>121547</v>
      </c>
      <c r="D124" s="6">
        <v>700110.72</v>
      </c>
    </row>
    <row r="125" spans="2:4">
      <c r="B125" s="4" t="str">
        <f>"BAKER HUGHES COMPA COM USD0.0001 CL A"</f>
        <v>BAKER HUGHES COMPA COM USD0.0001 CL A</v>
      </c>
      <c r="C125" s="6">
        <v>7494</v>
      </c>
      <c r="D125" s="6">
        <v>114483.81</v>
      </c>
    </row>
    <row r="126" spans="2:4">
      <c r="B126" s="4" t="str">
        <f>"BALL CORP COM NPV"</f>
        <v>BALL CORP COM NPV</v>
      </c>
      <c r="C126" s="6">
        <v>611</v>
      </c>
      <c r="D126" s="6">
        <v>35543.339999999997</v>
      </c>
    </row>
    <row r="127" spans="2:4">
      <c r="B127" s="4" t="str">
        <f>"BALOISE-HLDGS CHF0.1(REGD)"</f>
        <v>BALOISE-HLDGS CHF0.1(REGD)</v>
      </c>
      <c r="C127" s="6">
        <v>315</v>
      </c>
      <c r="D127" s="6">
        <v>35772.89</v>
      </c>
    </row>
    <row r="128" spans="2:4">
      <c r="B128" s="4" t="str">
        <f>"BANCO BPM NPV"</f>
        <v>BANCO BPM NPV</v>
      </c>
      <c r="C128" s="6">
        <v>28817</v>
      </c>
      <c r="D128" s="6">
        <v>62279.15</v>
      </c>
    </row>
    <row r="129" spans="2:4">
      <c r="B129" s="4" t="str">
        <f>"BANCO SANTANDER SA EUR0.50(REGD)"</f>
        <v>BANCO SANTANDER SA EUR0.50(REGD)</v>
      </c>
      <c r="C129" s="6">
        <v>233319</v>
      </c>
      <c r="D129" s="6">
        <v>614390.34</v>
      </c>
    </row>
    <row r="130" spans="2:4">
      <c r="B130" s="4" t="str">
        <f>"BANK HAPOALIM B.M. ILS1"</f>
        <v>BANK HAPOALIM B.M. ILS1</v>
      </c>
      <c r="C130" s="6">
        <v>5591</v>
      </c>
      <c r="D130" s="6">
        <v>32153.37</v>
      </c>
    </row>
    <row r="131" spans="2:4">
      <c r="B131" s="4" t="str">
        <f>"BANK NOVA SCOTIA HALIFAX COM"</f>
        <v>BANK NOVA SCOTIA HALIFAX COM</v>
      </c>
      <c r="C131" s="6">
        <v>8019</v>
      </c>
      <c r="D131" s="6">
        <v>359774.09</v>
      </c>
    </row>
    <row r="132" spans="2:4">
      <c r="B132" s="4" t="str">
        <f>"BANK OF IRELAND GR EUR1"</f>
        <v>BANK OF IRELAND GR EUR1</v>
      </c>
      <c r="C132" s="6">
        <v>7046</v>
      </c>
      <c r="D132" s="6">
        <v>26898.01</v>
      </c>
    </row>
    <row r="133" spans="2:4">
      <c r="B133" s="4" t="str">
        <f>"BANK OF MONTREAL COM NPV"</f>
        <v>BANK OF MONTREAL COM NPV</v>
      </c>
      <c r="C133" s="6">
        <v>3982</v>
      </c>
      <c r="D133" s="6">
        <v>285232.64000000001</v>
      </c>
    </row>
    <row r="134" spans="2:4">
      <c r="B134" s="4" t="str">
        <f>"BARCLAYS ORD GBP0.25"</f>
        <v>BARCLAYS ORD GBP0.25</v>
      </c>
      <c r="C134" s="6">
        <v>144164</v>
      </c>
      <c r="D134" s="6">
        <v>251566.18</v>
      </c>
    </row>
    <row r="135" spans="2:4">
      <c r="B135" s="4" t="s">
        <v>37</v>
      </c>
      <c r="C135" s="6">
        <v>971341</v>
      </c>
      <c r="D135" s="6">
        <v>1694990.05</v>
      </c>
    </row>
    <row r="136" spans="2:4">
      <c r="B136" s="4" t="str">
        <f>"BARRATT DEVEL ORD GBP0.10"</f>
        <v>BARRATT DEVEL ORD GBP0.10</v>
      </c>
      <c r="C136" s="6">
        <v>5129</v>
      </c>
      <c r="D136" s="6">
        <v>36087.64</v>
      </c>
    </row>
    <row r="137" spans="2:4">
      <c r="B137" s="4" t="str">
        <f>"BARRICK GOLD CORP COM NPV"</f>
        <v>BARRICK GOLD CORP COM NPV</v>
      </c>
      <c r="C137" s="6">
        <v>4492</v>
      </c>
      <c r="D137" s="6">
        <v>70292.5</v>
      </c>
    </row>
    <row r="138" spans="2:4">
      <c r="B138" s="4" t="str">
        <f>"BASF SE NPV"</f>
        <v>BASF SE NPV</v>
      </c>
      <c r="C138" s="6">
        <v>7199</v>
      </c>
      <c r="D138" s="6">
        <v>406582.47</v>
      </c>
    </row>
    <row r="139" spans="2:4">
      <c r="B139" s="4" t="str">
        <f>"BATH &amp; BODY WORKS COM USD0.5"</f>
        <v>BATH &amp; BODY WORKS COM USD0.5</v>
      </c>
      <c r="C139" s="6">
        <v>1803</v>
      </c>
      <c r="D139" s="6">
        <v>103834.44</v>
      </c>
    </row>
    <row r="140" spans="2:4">
      <c r="B140" s="4" t="str">
        <f>"BAUSCH HEALTH COMP COM NPV"</f>
        <v>BAUSCH HEALTH COMP COM NPV</v>
      </c>
      <c r="C140" s="6">
        <v>2881</v>
      </c>
      <c r="D140" s="6">
        <v>60586.47</v>
      </c>
    </row>
    <row r="141" spans="2:4">
      <c r="B141" s="4" t="str">
        <f>"BAXTER INTL INC COM USD1"</f>
        <v>BAXTER INTL INC COM USD1</v>
      </c>
      <c r="C141" s="6">
        <v>1065</v>
      </c>
      <c r="D141" s="6">
        <v>59249.65</v>
      </c>
    </row>
    <row r="142" spans="2:4">
      <c r="B142" s="4" t="str">
        <f>"BAYER AG NPV (REGD)"</f>
        <v>BAYER AG NPV (REGD)</v>
      </c>
      <c r="C142" s="6">
        <v>7482</v>
      </c>
      <c r="D142" s="6">
        <v>320912.51</v>
      </c>
    </row>
    <row r="143" spans="2:4">
      <c r="B143" s="4" t="str">
        <f>"BAYERISCHE MOTOREN WERKE AG EUR1"</f>
        <v>BAYERISCHE MOTOREN WERKE AG EUR1</v>
      </c>
      <c r="C143" s="6">
        <v>3792</v>
      </c>
      <c r="D143" s="6">
        <v>271277.68</v>
      </c>
    </row>
    <row r="144" spans="2:4">
      <c r="B144" s="4" t="str">
        <f>"BAYERISCHE MOTORENWERKE AG EUR1"</f>
        <v>BAYERISCHE MOTORENWERKE AG EUR1</v>
      </c>
      <c r="C144" s="6">
        <v>680</v>
      </c>
      <c r="D144" s="6">
        <v>41988.93</v>
      </c>
    </row>
    <row r="145" spans="2:4">
      <c r="B145" s="4" t="str">
        <f>"BBVA(BILB-VIZ-ARG) EUR0.49"</f>
        <v>BBVA(BILB-VIZ-ARG) EUR0.49</v>
      </c>
      <c r="C145" s="6">
        <v>84608</v>
      </c>
      <c r="D145" s="6">
        <v>390459.75</v>
      </c>
    </row>
    <row r="146" spans="2:4">
      <c r="B146" s="4" t="str">
        <f>"BCE INC COM NEW"</f>
        <v>BCE INC COM NEW</v>
      </c>
      <c r="C146" s="6">
        <v>1665</v>
      </c>
      <c r="D146" s="6">
        <v>59735.51</v>
      </c>
    </row>
    <row r="147" spans="2:4">
      <c r="B147" s="4" t="str">
        <f>"BCO DE SABADELL EUR0.125"</f>
        <v>BCO DE SABADELL EUR0.125</v>
      </c>
      <c r="C147" s="6">
        <v>142512</v>
      </c>
      <c r="D147" s="6">
        <v>71274.259999999995</v>
      </c>
    </row>
    <row r="148" spans="2:4">
      <c r="B148" s="4" t="str">
        <f>"BECTON DICKINSON COM USD1"</f>
        <v>BECTON DICKINSON COM USD1</v>
      </c>
      <c r="C148" s="6">
        <v>583</v>
      </c>
      <c r="D148" s="6">
        <v>107240.8</v>
      </c>
    </row>
    <row r="149" spans="2:4">
      <c r="B149" s="4" t="str">
        <f>"BED BATH &amp; BEYOND INC COM"</f>
        <v>BED BATH &amp; BEYOND INC COM</v>
      </c>
      <c r="C149" s="6">
        <v>1892</v>
      </c>
      <c r="D149" s="6">
        <v>38837.47</v>
      </c>
    </row>
    <row r="150" spans="2:4">
      <c r="B150" s="4" t="str">
        <f>"BERKELEY GP HLDGS ORD GBP0.05"</f>
        <v>BERKELEY GP HLDGS ORD GBP0.05</v>
      </c>
      <c r="C150" s="6">
        <v>540</v>
      </c>
      <c r="D150" s="6">
        <v>26163</v>
      </c>
    </row>
    <row r="151" spans="2:4">
      <c r="B151" s="4" t="str">
        <f>"BERKLEY(WR)CORP COM USD0.20"</f>
        <v>BERKLEY(WR)CORP COM USD0.20</v>
      </c>
      <c r="C151" s="6">
        <v>435</v>
      </c>
      <c r="D151" s="6">
        <v>22892.76</v>
      </c>
    </row>
    <row r="152" spans="2:4">
      <c r="B152" s="4" t="str">
        <f>"BERKSHIRE HATHAWAY CLASS'B'COM USD0.0033"</f>
        <v>BERKSHIRE HATHAWAY CLASS'B'COM USD0.0033</v>
      </c>
      <c r="C152" s="6">
        <v>3975</v>
      </c>
      <c r="D152" s="6">
        <v>795628.98</v>
      </c>
    </row>
    <row r="153" spans="2:4">
      <c r="B153" s="4" t="str">
        <f>"BERKSHIRE HATHAWAY INC DEL CL A"</f>
        <v>BERKSHIRE HATHAWAY INC DEL CL A</v>
      </c>
      <c r="C153" s="6">
        <v>2</v>
      </c>
      <c r="D153" s="6">
        <v>602582.07999999996</v>
      </c>
    </row>
    <row r="154" spans="2:4">
      <c r="B154" s="4" t="str">
        <f>"BERRY GLOBAL GROUP COM USD0.01"</f>
        <v>BERRY GLOBAL GROUP COM USD0.01</v>
      </c>
      <c r="C154" s="6">
        <v>259</v>
      </c>
      <c r="D154" s="6">
        <v>11976.2</v>
      </c>
    </row>
    <row r="155" spans="2:4">
      <c r="B155" s="4" t="str">
        <f>"BEST BUY CO INC COM USD0.10"</f>
        <v>BEST BUY CO INC COM USD0.10</v>
      </c>
      <c r="C155" s="6">
        <v>985</v>
      </c>
      <c r="D155" s="6">
        <v>79594.89</v>
      </c>
    </row>
    <row r="156" spans="2:4">
      <c r="B156" s="4" t="str">
        <f>"BHP GROUP LTD NPV"</f>
        <v>BHP GROUP LTD NPV</v>
      </c>
      <c r="C156" s="6">
        <v>7773</v>
      </c>
      <c r="D156" s="6">
        <v>219813.32</v>
      </c>
    </row>
    <row r="157" spans="2:4">
      <c r="B157" s="4" t="str">
        <f>"BHP GROUP PLC ORD USD0.50"</f>
        <v>BHP GROUP PLC ORD USD0.50</v>
      </c>
      <c r="C157" s="6">
        <v>5279</v>
      </c>
      <c r="D157" s="6">
        <v>122683.96</v>
      </c>
    </row>
    <row r="158" spans="2:4">
      <c r="B158" s="4" t="str">
        <f>"BIOGEN INC COM STK USD0.0005"</f>
        <v>BIOGEN INC COM STK USD0.0005</v>
      </c>
      <c r="C158" s="6">
        <v>600</v>
      </c>
      <c r="D158" s="6">
        <v>140999.03</v>
      </c>
    </row>
    <row r="159" spans="2:4">
      <c r="B159" s="4" t="str">
        <f>"BJS WHSL CLUB HLDG COM USD0.01"</f>
        <v>BJS WHSL CLUB HLDG COM USD0.01</v>
      </c>
      <c r="C159" s="6">
        <v>500</v>
      </c>
      <c r="D159" s="6">
        <v>18211.240000000002</v>
      </c>
    </row>
    <row r="160" spans="2:4">
      <c r="B160" s="4" t="str">
        <f>"BK LEUMI LE ISRAEL ILS1"</f>
        <v>BK LEUMI LE ISRAEL ILS1</v>
      </c>
      <c r="C160" s="6">
        <v>5577</v>
      </c>
      <c r="D160" s="6">
        <v>30804.86</v>
      </c>
    </row>
    <row r="161" spans="2:4">
      <c r="B161" s="4" t="str">
        <f>"BK OF AMERICA CORP COM USD0.01"</f>
        <v>BK OF AMERICA CORP COM USD0.01</v>
      </c>
      <c r="C161" s="6">
        <v>36557</v>
      </c>
      <c r="D161" s="6">
        <v>1008614.03</v>
      </c>
    </row>
    <row r="162" spans="2:4">
      <c r="B162" s="4" t="str">
        <f>"BK OF NY MELLON CP COM STK USD0.01"</f>
        <v>BK OF NY MELLON CP COM STK USD0.01</v>
      </c>
      <c r="C162" s="6">
        <v>4497</v>
      </c>
      <c r="D162" s="6">
        <v>166958.42000000001</v>
      </c>
    </row>
    <row r="163" spans="2:4">
      <c r="B163" s="4" t="str">
        <f>"BLACKROCK INC COM STK USD0.01"</f>
        <v>BLACKROCK INC COM STK USD0.01</v>
      </c>
      <c r="C163" s="6">
        <v>318</v>
      </c>
      <c r="D163" s="6">
        <v>198338.59</v>
      </c>
    </row>
    <row r="164" spans="2:4">
      <c r="B164" s="4" t="str">
        <f>"BNP PARIBAS EUR2"</f>
        <v>BNP PARIBAS EUR2</v>
      </c>
      <c r="C164" s="6">
        <v>10857</v>
      </c>
      <c r="D164" s="6">
        <v>476411.81</v>
      </c>
    </row>
    <row r="165" spans="2:4">
      <c r="B165" s="4" t="str">
        <f>"BOC HONG KONG HLDG HKD5"</f>
        <v>BOC HONG KONG HLDG HKD5</v>
      </c>
      <c r="C165" s="6">
        <v>17000</v>
      </c>
      <c r="D165" s="6">
        <v>39334.78</v>
      </c>
    </row>
    <row r="166" spans="2:4">
      <c r="B166" s="4" t="str">
        <f>"BOEING CO COM USD5"</f>
        <v>BOEING CO COM USD5</v>
      </c>
      <c r="C166" s="6">
        <v>2144</v>
      </c>
      <c r="D166" s="6">
        <v>349245.24</v>
      </c>
    </row>
    <row r="167" spans="2:4">
      <c r="B167" s="4" t="str">
        <f>"BOLIDEN AB NPV (POST SPLIT)"</f>
        <v>BOLIDEN AB NPV (POST SPLIT)</v>
      </c>
      <c r="C167" s="6">
        <v>713</v>
      </c>
      <c r="D167" s="6">
        <v>19996.43</v>
      </c>
    </row>
    <row r="168" spans="2:4">
      <c r="B168" s="4" t="str">
        <f>"BOOKING HLDGS INC COM USD0.008"</f>
        <v>BOOKING HLDGS INC COM USD0.008</v>
      </c>
      <c r="C168" s="6">
        <v>45</v>
      </c>
      <c r="D168" s="6">
        <v>70501.460000000006</v>
      </c>
    </row>
    <row r="169" spans="2:4">
      <c r="B169" s="4" t="str">
        <f>"BORG WARNER INC COM"</f>
        <v>BORG WARNER INC COM</v>
      </c>
      <c r="C169" s="6">
        <v>1025</v>
      </c>
      <c r="D169" s="6">
        <v>36109.25</v>
      </c>
    </row>
    <row r="170" spans="2:4">
      <c r="B170" s="4" t="str">
        <f>"BOSTON PPTYS INC COM USD0.01"</f>
        <v>BOSTON PPTYS INC COM USD0.01</v>
      </c>
      <c r="C170" s="6">
        <v>713</v>
      </c>
      <c r="D170" s="6">
        <v>60194.87</v>
      </c>
    </row>
    <row r="171" spans="2:4">
      <c r="B171" s="4" t="str">
        <f>"BOSTON SCIENTIFIC COM USD0.01"</f>
        <v>BOSTON SCIENTIFIC COM USD0.01</v>
      </c>
      <c r="C171" s="6">
        <v>2126</v>
      </c>
      <c r="D171" s="6">
        <v>69727.48</v>
      </c>
    </row>
    <row r="172" spans="2:4">
      <c r="B172" s="4" t="str">
        <f>"BOUYGUES EUR1"</f>
        <v>BOUYGUES EUR1</v>
      </c>
      <c r="C172" s="6">
        <v>1904</v>
      </c>
      <c r="D172" s="6">
        <v>52759.9</v>
      </c>
    </row>
    <row r="173" spans="2:4">
      <c r="B173" s="4" t="str">
        <f>"BP ORD USD0.25"</f>
        <v>BP ORD USD0.25</v>
      </c>
      <c r="C173" s="6">
        <v>157143</v>
      </c>
      <c r="D173" s="6">
        <v>454457.56</v>
      </c>
    </row>
    <row r="174" spans="2:4">
      <c r="B174" s="4" t="s">
        <v>25</v>
      </c>
      <c r="C174" s="6">
        <v>306452</v>
      </c>
      <c r="D174" s="6">
        <v>886259.18</v>
      </c>
    </row>
    <row r="175" spans="2:4">
      <c r="B175" s="4" t="str">
        <f>"BRAMBLES LTD NPV"</f>
        <v>BRAMBLES LTD NPV</v>
      </c>
      <c r="C175" s="6">
        <v>4691</v>
      </c>
      <c r="D175" s="6">
        <v>28818.03</v>
      </c>
    </row>
    <row r="176" spans="2:4">
      <c r="B176" s="4" t="str">
        <f>"BRENNTAG AG"</f>
        <v>BRENNTAG AG</v>
      </c>
      <c r="C176" s="6">
        <v>670</v>
      </c>
      <c r="D176" s="6">
        <v>48114.3</v>
      </c>
    </row>
    <row r="177" spans="2:4">
      <c r="B177" s="4" t="str">
        <f>"BRIDGESTONE CORP NPV"</f>
        <v>BRIDGESTONE CORP NPV</v>
      </c>
      <c r="C177" s="6">
        <v>3800</v>
      </c>
      <c r="D177" s="6">
        <v>120800.66</v>
      </c>
    </row>
    <row r="178" spans="2:4">
      <c r="B178" s="4" t="str">
        <f>"BRIGHTHOUSE FINL I COM USD0.01 WI"</f>
        <v>BRIGHTHOUSE FINL I COM USD0.01 WI</v>
      </c>
      <c r="C178" s="6">
        <v>1515</v>
      </c>
      <c r="D178" s="6">
        <v>46920.49</v>
      </c>
    </row>
    <row r="179" spans="2:4">
      <c r="B179" s="4" t="str">
        <f>"BRISTOL-MYRS SQUIB COM STK USD0.10"</f>
        <v>BRISTOL-MYRS SQUIB COM STK USD0.10</v>
      </c>
      <c r="C179" s="6">
        <v>5330</v>
      </c>
      <c r="D179" s="6">
        <v>261780.88</v>
      </c>
    </row>
    <row r="180" spans="2:4">
      <c r="B180" s="4" t="str">
        <f>"BRITISH LAND CO PLC REIT"</f>
        <v>BRITISH LAND CO PLC REIT</v>
      </c>
      <c r="C180" s="6">
        <v>5752</v>
      </c>
      <c r="D180" s="6">
        <v>29675.25</v>
      </c>
    </row>
    <row r="181" spans="2:4">
      <c r="B181" s="4" t="str">
        <f>"BROADCOM CORP COM USD1.00"</f>
        <v>BROADCOM CORP COM USD1.00</v>
      </c>
      <c r="C181" s="6">
        <v>484</v>
      </c>
      <c r="D181" s="6">
        <v>168974.43</v>
      </c>
    </row>
    <row r="182" spans="2:4">
      <c r="B182" s="4" t="str">
        <f>"BROOKFIELD ASSET M LTD VTG SHS NPV CL'A'"</f>
        <v>BROOKFIELD ASSET M LTD VTG SHS NPV CL'A'</v>
      </c>
      <c r="C182" s="6">
        <v>4900</v>
      </c>
      <c r="D182" s="6">
        <v>190139.86</v>
      </c>
    </row>
    <row r="183" spans="2:4">
      <c r="B183" s="4" t="str">
        <f>"BROOKFIELD ASST MG CL A EXCHANGEABLE LTD VTG S"</f>
        <v>BROOKFIELD ASST MG CL A EXCHANGEABLE LTD VTG S</v>
      </c>
      <c r="C183" s="6">
        <v>33</v>
      </c>
      <c r="D183" s="6">
        <v>1284.1500000000001</v>
      </c>
    </row>
    <row r="184" spans="2:4">
      <c r="B184" s="4" t="str">
        <f>"BROWN FORMAN CORP CL B"</f>
        <v>BROWN FORMAN CORP CL B</v>
      </c>
      <c r="C184" s="6">
        <v>424</v>
      </c>
      <c r="D184" s="6">
        <v>21627.71</v>
      </c>
    </row>
    <row r="185" spans="2:4">
      <c r="B185" s="4" t="str">
        <f>"BT GROUP ORD GBP0.05"</f>
        <v>BT GROUP ORD GBP0.05</v>
      </c>
      <c r="C185" s="6">
        <v>79545</v>
      </c>
      <c r="D185" s="6">
        <v>138090.12</v>
      </c>
    </row>
    <row r="186" spans="2:4">
      <c r="B186" s="4" t="s">
        <v>35</v>
      </c>
      <c r="C186" s="6">
        <v>826620</v>
      </c>
      <c r="D186" s="6">
        <v>1435012.32</v>
      </c>
    </row>
    <row r="187" spans="2:4">
      <c r="B187" s="4" t="str">
        <f>"BUNGE LIMITED COM USD0.01"</f>
        <v>BUNGE LIMITED COM USD0.01</v>
      </c>
      <c r="C187" s="6">
        <v>1846</v>
      </c>
      <c r="D187" s="6">
        <v>103071.15</v>
      </c>
    </row>
    <row r="188" spans="2:4">
      <c r="B188" s="4" t="str">
        <f>"BUNZL ORD GBP0.32142857"</f>
        <v>BUNZL ORD GBP0.32142857</v>
      </c>
      <c r="C188" s="6">
        <v>784</v>
      </c>
      <c r="D188" s="6">
        <v>20901.439999999999</v>
      </c>
    </row>
    <row r="189" spans="2:4">
      <c r="B189" s="4" t="str">
        <f>"CAIXABANK SA EUR1"</f>
        <v>CAIXABANK SA EUR1</v>
      </c>
      <c r="C189" s="6">
        <v>36220</v>
      </c>
      <c r="D189" s="6">
        <v>77382.63</v>
      </c>
    </row>
    <row r="190" spans="2:4">
      <c r="B190" s="4" t="str">
        <f>"CAMPBELL SOUP CO CAP USD0.0375"</f>
        <v>CAMPBELL SOUP CO CAP USD0.0375</v>
      </c>
      <c r="C190" s="6">
        <v>327</v>
      </c>
      <c r="D190" s="6">
        <v>10356.59</v>
      </c>
    </row>
    <row r="191" spans="2:4">
      <c r="B191" s="4" t="str">
        <f>"CAN PACIFIC RYS COM NPV"</f>
        <v>CAN PACIFIC RYS COM NPV</v>
      </c>
      <c r="C191" s="6">
        <v>1350</v>
      </c>
      <c r="D191" s="6">
        <v>72056.28</v>
      </c>
    </row>
    <row r="192" spans="2:4">
      <c r="B192" s="4" t="str">
        <f>"CANADIAN NAT RES LTD COM"</f>
        <v>CANADIAN NAT RES LTD COM</v>
      </c>
      <c r="C192" s="6">
        <v>4787</v>
      </c>
      <c r="D192" s="6">
        <v>113549.12</v>
      </c>
    </row>
    <row r="193" spans="2:4">
      <c r="B193" s="4" t="str">
        <f>"CANADIAN NATL RY CO COM"</f>
        <v>CANADIAN NATL RY CO COM</v>
      </c>
      <c r="C193" s="6">
        <v>1564</v>
      </c>
      <c r="D193" s="6">
        <v>122154.03</v>
      </c>
    </row>
    <row r="194" spans="2:4">
      <c r="B194" s="4" t="str">
        <f>"CANADIAN TIRE LTD CL A"</f>
        <v>CANADIAN TIRE LTD CL A</v>
      </c>
      <c r="C194" s="6">
        <v>402</v>
      </c>
      <c r="D194" s="6">
        <v>44660.18</v>
      </c>
    </row>
    <row r="195" spans="2:4">
      <c r="B195" s="4" t="str">
        <f>"CANON INC NPV"</f>
        <v>CANON INC NPV</v>
      </c>
      <c r="C195" s="6">
        <v>8400</v>
      </c>
      <c r="D195" s="6">
        <v>139528.02000000002</v>
      </c>
    </row>
    <row r="196" spans="2:4">
      <c r="B196" s="4" t="str">
        <f>"CAPGEMINI EUR8"</f>
        <v>CAPGEMINI EUR8</v>
      </c>
      <c r="C196" s="6">
        <v>519</v>
      </c>
      <c r="D196" s="6">
        <v>80671.88</v>
      </c>
    </row>
    <row r="197" spans="2:4">
      <c r="B197" s="4" t="str">
        <f>"CAPITAL ONE FINL COM USD0.01"</f>
        <v>CAPITAL ONE FINL COM USD0.01</v>
      </c>
      <c r="C197" s="6">
        <v>3698</v>
      </c>
      <c r="D197" s="6">
        <v>430083.5</v>
      </c>
    </row>
    <row r="198" spans="2:4">
      <c r="B198" s="4" t="str">
        <f>"CAPITALAND SGD1"</f>
        <v>CAPITALAND SGD1</v>
      </c>
      <c r="C198" s="6">
        <v>9599</v>
      </c>
      <c r="D198" s="6">
        <v>20547.37</v>
      </c>
    </row>
    <row r="199" spans="2:4">
      <c r="B199" s="4" t="str">
        <f>"CARDINAL HEALTH INC COM"</f>
        <v>CARDINAL HEALTH INC COM</v>
      </c>
      <c r="C199" s="6">
        <v>3888</v>
      </c>
      <c r="D199" s="6">
        <v>166051.31</v>
      </c>
    </row>
    <row r="200" spans="2:4">
      <c r="B200" s="4" t="str">
        <f>"CARLSBERG SER'B'DKK20"</f>
        <v>CARLSBERG SER'B'DKK20</v>
      </c>
      <c r="C200" s="6">
        <v>335</v>
      </c>
      <c r="D200" s="6">
        <v>44537.21</v>
      </c>
    </row>
    <row r="201" spans="2:4">
      <c r="B201" s="4" t="str">
        <f>"CARMAX INC COM USD0.50"</f>
        <v>CARMAX INC COM USD0.50</v>
      </c>
      <c r="C201" s="6">
        <v>626</v>
      </c>
      <c r="D201" s="6">
        <v>60310.5</v>
      </c>
    </row>
    <row r="202" spans="2:4">
      <c r="B202" s="4" t="str">
        <f>"CARNIVAL CORP COM USD0.01(PAIRED STOCK)"</f>
        <v>CARNIVAL CORP COM USD0.01(PAIRED STOCK)</v>
      </c>
      <c r="C202" s="6">
        <v>5354</v>
      </c>
      <c r="D202" s="6">
        <v>83370.45</v>
      </c>
    </row>
    <row r="203" spans="2:4">
      <c r="B203" s="4" t="str">
        <f>"CARNIVAL PLC ORD USD1.66"</f>
        <v>CARNIVAL PLC ORD USD1.66</v>
      </c>
      <c r="C203" s="6">
        <v>2044</v>
      </c>
      <c r="D203" s="6">
        <v>29531.71</v>
      </c>
    </row>
    <row r="204" spans="2:4">
      <c r="B204" s="4" t="str">
        <f>"CARREFOUR EUR2.50"</f>
        <v>CARREFOUR EUR2.50</v>
      </c>
      <c r="C204" s="6">
        <v>8576</v>
      </c>
      <c r="D204" s="6">
        <v>114541.75999999999</v>
      </c>
    </row>
    <row r="205" spans="2:4">
      <c r="B205" s="4" t="str">
        <f>"CARRIER GLOBAL COR COM USD0.01"</f>
        <v>CARRIER GLOBAL COR COM USD0.01</v>
      </c>
      <c r="C205" s="6">
        <v>2227</v>
      </c>
      <c r="D205" s="6">
        <v>88660.340000000011</v>
      </c>
    </row>
    <row r="206" spans="2:4">
      <c r="B206" s="4" t="str">
        <f>"CASINO GUICH-PERR EUR1.53"</f>
        <v>CASINO GUICH-PERR EUR1.53</v>
      </c>
      <c r="C206" s="6">
        <v>1376</v>
      </c>
      <c r="D206" s="6">
        <v>27965.96</v>
      </c>
    </row>
    <row r="207" spans="2:4">
      <c r="B207" s="4" t="str">
        <f>"CATERPILLAR INC DEL COM"</f>
        <v>CATERPILLAR INC DEL COM</v>
      </c>
      <c r="C207" s="6">
        <v>1770</v>
      </c>
      <c r="D207" s="6">
        <v>264406.44</v>
      </c>
    </row>
    <row r="208" spans="2:4">
      <c r="B208" s="4" t="str">
        <f>"CBRE GROUP INC CLASS 'A' USD0.01"</f>
        <v>CBRE GROUP INC CLASS 'A' USD0.01</v>
      </c>
      <c r="C208" s="6">
        <v>1169</v>
      </c>
      <c r="D208" s="6">
        <v>81103.13</v>
      </c>
    </row>
    <row r="209" spans="2:4">
      <c r="B209" s="4" t="str">
        <f>"CDN IMPERIAL BK OF COMMERCE COM"</f>
        <v>CDN IMPERIAL BK OF COMMERCE COM</v>
      </c>
      <c r="C209" s="6">
        <v>2655</v>
      </c>
      <c r="D209" s="6">
        <v>221912.43</v>
      </c>
    </row>
    <row r="210" spans="2:4">
      <c r="B210" s="4" t="str">
        <f>"CDW CORP COM USD0.01"</f>
        <v>CDW CORP COM USD0.01</v>
      </c>
      <c r="C210" s="6">
        <v>225</v>
      </c>
      <c r="D210" s="6">
        <v>29671.49</v>
      </c>
    </row>
    <row r="211" spans="2:4">
      <c r="B211" s="4" t="str">
        <f>"CELANESE CORP COM SERIES 'A' USD0.0001"</f>
        <v>CELANESE CORP COM SERIES 'A' USD0.0001</v>
      </c>
      <c r="C211" s="6">
        <v>226</v>
      </c>
      <c r="D211" s="6">
        <v>25414.21</v>
      </c>
    </row>
    <row r="212" spans="2:4">
      <c r="B212" s="4" t="str">
        <f>"CENOVUS ENERGY INC COM NPV"</f>
        <v>CENOVUS ENERGY INC COM NPV</v>
      </c>
      <c r="C212" s="6">
        <v>8525</v>
      </c>
      <c r="D212" s="6">
        <v>51131.040000000001</v>
      </c>
    </row>
    <row r="213" spans="2:4">
      <c r="B213" s="4" t="str">
        <f>"CENTENE CORP DEL COM"</f>
        <v>CENTENE CORP DEL COM</v>
      </c>
      <c r="C213" s="6">
        <v>2742</v>
      </c>
      <c r="D213" s="6">
        <v>135310.26</v>
      </c>
    </row>
    <row r="214" spans="2:4">
      <c r="B214" s="4" t="str">
        <f>"CENTERPOINT ENERGY INC COM"</f>
        <v>CENTERPOINT ENERGY INC COM</v>
      </c>
      <c r="C214" s="6">
        <v>4008</v>
      </c>
      <c r="D214" s="6">
        <v>73394.240000000005</v>
      </c>
    </row>
    <row r="215" spans="2:4">
      <c r="B215" s="4" t="str">
        <f>"CENTRAL JAPAN RLWY NPV"</f>
        <v>CENTRAL JAPAN RLWY NPV</v>
      </c>
      <c r="C215" s="6">
        <v>700</v>
      </c>
      <c r="D215" s="6">
        <v>72733.69</v>
      </c>
    </row>
    <row r="216" spans="2:4">
      <c r="B216" s="4" t="str">
        <f>"CENTRICA ORD GBP0.061728395"</f>
        <v>CENTRICA ORD GBP0.061728395</v>
      </c>
      <c r="C216" s="6">
        <v>75176</v>
      </c>
      <c r="D216" s="6">
        <v>34182.53</v>
      </c>
    </row>
    <row r="217" spans="2:4">
      <c r="B217" s="4" t="s">
        <v>36</v>
      </c>
      <c r="C217" s="6">
        <v>3565654</v>
      </c>
      <c r="D217" s="6">
        <v>1621302.87</v>
      </c>
    </row>
    <row r="218" spans="2:4">
      <c r="B218" s="4" t="str">
        <f>"CERNER CORP COM"</f>
        <v>CERNER CORP COM</v>
      </c>
      <c r="C218" s="6">
        <v>591</v>
      </c>
      <c r="D218" s="6">
        <v>34171.599999999999</v>
      </c>
    </row>
    <row r="219" spans="2:4">
      <c r="B219" s="4" t="str">
        <f>"CF INDS HLDGS INC COM"</f>
        <v>CF INDS HLDGS INC COM</v>
      </c>
      <c r="C219" s="6">
        <v>1323</v>
      </c>
      <c r="D219" s="6">
        <v>44961.16</v>
      </c>
    </row>
    <row r="220" spans="2:4">
      <c r="B220" s="4" t="str">
        <f>"CGI INC COM NPV SUB VOTING SHARES C"</f>
        <v>CGI INC COM NPV SUB VOTING SHARES C</v>
      </c>
      <c r="C220" s="6">
        <v>630</v>
      </c>
      <c r="D220" s="6">
        <v>41194.35</v>
      </c>
    </row>
    <row r="221" spans="2:4">
      <c r="B221" s="4" t="str">
        <f>"CH ROBINSON WORLDW COM USD0.1"</f>
        <v>CH ROBINSON WORLDW COM USD0.1</v>
      </c>
      <c r="C221" s="6">
        <v>623</v>
      </c>
      <c r="D221" s="6">
        <v>39956.06</v>
      </c>
    </row>
    <row r="222" spans="2:4">
      <c r="B222" s="4" t="str">
        <f>"CHARTER COMMUN INC COM USD0.001 CLASS 'A'"</f>
        <v>CHARTER COMMUN INC COM USD0.001 CLASS 'A'</v>
      </c>
      <c r="C222" s="6">
        <v>331</v>
      </c>
      <c r="D222" s="6">
        <v>177135.65</v>
      </c>
    </row>
    <row r="223" spans="2:4">
      <c r="B223" s="4" t="str">
        <f>"CHEVRON CORP COM USD0.75"</f>
        <v>CHEVRON CORP COM USD0.75</v>
      </c>
      <c r="C223" s="6">
        <v>7697</v>
      </c>
      <c r="D223" s="6">
        <v>563621.80000000005</v>
      </c>
    </row>
    <row r="224" spans="2:4">
      <c r="B224" s="4" t="str">
        <f>"CHUBB LIMITED ORD CHF24.15"</f>
        <v>CHUBB LIMITED ORD CHF24.15</v>
      </c>
      <c r="C224" s="6">
        <v>1760</v>
      </c>
      <c r="D224" s="6">
        <v>213602.62</v>
      </c>
    </row>
    <row r="225" spans="2:4">
      <c r="B225" s="4" t="str">
        <f>"CHUBU ELEC POWER NPV"</f>
        <v>CHUBU ELEC POWER NPV</v>
      </c>
      <c r="C225" s="6">
        <v>4600</v>
      </c>
      <c r="D225" s="6">
        <v>39687.160000000003</v>
      </c>
    </row>
    <row r="226" spans="2:4">
      <c r="B226" s="4" t="str">
        <f>"CIE DE ST-GOBAIN EUR4"</f>
        <v>CIE DE ST-GOBAIN EUR4</v>
      </c>
      <c r="C226" s="6">
        <v>4134</v>
      </c>
      <c r="D226" s="6">
        <v>212429.5</v>
      </c>
    </row>
    <row r="227" spans="2:4">
      <c r="B227" s="4" t="str">
        <f>"CIGNA CORP COM USD0.25"</f>
        <v>CIGNA CORP COM USD0.25</v>
      </c>
      <c r="C227" s="6">
        <v>1170</v>
      </c>
      <c r="D227" s="6">
        <v>193119.21</v>
      </c>
    </row>
    <row r="228" spans="2:4">
      <c r="B228" s="4" t="str">
        <f>"CINCINNATI FINL CORP COM"</f>
        <v>CINCINNATI FINL CORP COM</v>
      </c>
      <c r="C228" s="6">
        <v>447</v>
      </c>
      <c r="D228" s="6">
        <v>37898.629999999997</v>
      </c>
    </row>
    <row r="229" spans="2:4">
      <c r="B229" s="4" t="str">
        <f>"CINTAS CORP COM"</f>
        <v>CINTAS CORP COM</v>
      </c>
      <c r="C229" s="6">
        <v>47</v>
      </c>
      <c r="D229" s="6">
        <v>13325.03</v>
      </c>
    </row>
    <row r="230" spans="2:4">
      <c r="B230" s="4" t="str">
        <f>"CISCO SYSTEMS COM USD0.001"</f>
        <v>CISCO SYSTEMS COM USD0.001</v>
      </c>
      <c r="C230" s="6">
        <v>13843</v>
      </c>
      <c r="D230" s="6">
        <v>551290.62</v>
      </c>
    </row>
    <row r="231" spans="2:4">
      <c r="B231" s="4" t="str">
        <f>"CIT GROUP INC COM NEW USD0.01"</f>
        <v>CIT GROUP INC COM NEW USD0.01</v>
      </c>
      <c r="C231" s="6">
        <v>1356</v>
      </c>
      <c r="D231" s="6">
        <v>47338.33</v>
      </c>
    </row>
    <row r="232" spans="2:4">
      <c r="B232" s="4" t="str">
        <f>"CITIGROUP INC COM USD0.01"</f>
        <v>CITIGROUP INC COM USD0.01</v>
      </c>
      <c r="C232" s="6">
        <v>17266</v>
      </c>
      <c r="D232" s="6">
        <v>845119.38</v>
      </c>
    </row>
    <row r="233" spans="2:4">
      <c r="B233" s="4" t="str">
        <f>"CITIZENS FINL GP COM USD0.01"</f>
        <v>CITIZENS FINL GP COM USD0.01</v>
      </c>
      <c r="C233" s="6">
        <v>3089</v>
      </c>
      <c r="D233" s="6">
        <v>94405.18</v>
      </c>
    </row>
    <row r="234" spans="2:4">
      <c r="B234" s="4" t="str">
        <f>"CK ASSET HOLDINGS HKD1"</f>
        <v>CK ASSET HOLDINGS HKD1</v>
      </c>
      <c r="C234" s="6">
        <v>12500</v>
      </c>
      <c r="D234" s="6">
        <v>61258.13</v>
      </c>
    </row>
    <row r="235" spans="2:4">
      <c r="B235" s="4" t="str">
        <f>"CK HUTCHISON HLDGS HKD1.0"</f>
        <v>CK HUTCHISON HLDGS HKD1.0</v>
      </c>
      <c r="C235" s="6">
        <v>14000</v>
      </c>
      <c r="D235" s="6">
        <v>73597.679999999993</v>
      </c>
    </row>
    <row r="236" spans="2:4">
      <c r="B236" s="4" t="str">
        <f>"CLOROX CO DEL COM"</f>
        <v>CLOROX CO DEL COM</v>
      </c>
      <c r="C236" s="6">
        <v>339</v>
      </c>
      <c r="D236" s="6">
        <v>44345.640000000007</v>
      </c>
    </row>
    <row r="237" spans="2:4">
      <c r="B237" s="4" t="str">
        <f>"CLP HOLDINGS HKD5"</f>
        <v>CLP HOLDINGS HKD5</v>
      </c>
      <c r="C237" s="6">
        <v>6000</v>
      </c>
      <c r="D237" s="6">
        <v>44536.22</v>
      </c>
    </row>
    <row r="238" spans="2:4">
      <c r="B238" s="4" t="str">
        <f>"CME GROUP INC COM STK USD0.01 CLASS'A'"</f>
        <v>CME GROUP INC COM STK USD0.01 CLASS'A'</v>
      </c>
      <c r="C238" s="6">
        <v>749</v>
      </c>
      <c r="D238" s="6">
        <v>114277.25</v>
      </c>
    </row>
    <row r="239" spans="2:4">
      <c r="B239" s="4" t="str">
        <f>"CMNWLTH BK OF AUST NPV"</f>
        <v>CMNWLTH BK OF AUST NPV</v>
      </c>
      <c r="C239" s="6">
        <v>5309</v>
      </c>
      <c r="D239" s="6">
        <v>279693.75</v>
      </c>
    </row>
    <row r="240" spans="2:4">
      <c r="B240" s="4" t="str">
        <f>"CMS ENERGY CORP COM"</f>
        <v>CMS ENERGY CORP COM</v>
      </c>
      <c r="C240" s="6">
        <v>1182</v>
      </c>
      <c r="D240" s="6">
        <v>52530.5</v>
      </c>
    </row>
    <row r="241" spans="2:4">
      <c r="B241" s="4" t="str">
        <f>"CNH INDUSTRIAL NV COM EUR0.01"</f>
        <v>CNH INDUSTRIAL NV COM EUR0.01</v>
      </c>
      <c r="C241" s="6">
        <v>7820</v>
      </c>
      <c r="D241" s="6">
        <v>93773.34</v>
      </c>
    </row>
    <row r="242" spans="2:4">
      <c r="B242" s="4" t="str">
        <f>"COCA-COLA CO COM USD0.25"</f>
        <v>COCA-COLA CO COM USD0.25</v>
      </c>
      <c r="C242" s="6">
        <v>10369</v>
      </c>
      <c r="D242" s="6">
        <v>425320.29</v>
      </c>
    </row>
    <row r="243" spans="2:4">
      <c r="B243" s="4" t="str">
        <f>"COCA-COLA EUROPACI COM EUR0.01"</f>
        <v>COCA-COLA EUROPACI COM EUR0.01</v>
      </c>
      <c r="C243" s="6">
        <v>1005</v>
      </c>
      <c r="D243" s="6">
        <v>44859.42</v>
      </c>
    </row>
    <row r="244" spans="2:4">
      <c r="B244" s="4" t="str">
        <f>"COGNIZANT TECHNOLO COM CL'A'USD0.01"</f>
        <v>COGNIZANT TECHNOLO COM CL'A'USD0.01</v>
      </c>
      <c r="C244" s="6">
        <v>1300</v>
      </c>
      <c r="D244" s="6">
        <v>68751.75</v>
      </c>
    </row>
    <row r="245" spans="2:4">
      <c r="B245" s="4" t="str">
        <f>"COLES GROUP LTD NPV"</f>
        <v>COLES GROUP LTD NPV</v>
      </c>
      <c r="C245" s="6">
        <v>5367</v>
      </c>
      <c r="D245" s="6">
        <v>49626.559999999998</v>
      </c>
    </row>
    <row r="246" spans="2:4">
      <c r="B246" s="4" t="str">
        <f>"COLGATE-PALMOLIVE COM USD1"</f>
        <v>COLGATE-PALMOLIVE COM USD1</v>
      </c>
      <c r="C246" s="6">
        <v>2063</v>
      </c>
      <c r="D246" s="6">
        <v>118529.57</v>
      </c>
    </row>
    <row r="247" spans="2:4">
      <c r="B247" s="4" t="str">
        <f>"COMCAST CORP COM CLS'A' USD0.01"</f>
        <v>COMCAST CORP COM CLS'A' USD0.01</v>
      </c>
      <c r="C247" s="6">
        <v>16097</v>
      </c>
      <c r="D247" s="6">
        <v>681113.76</v>
      </c>
    </row>
    <row r="248" spans="2:4">
      <c r="B248" s="4" t="str">
        <f>"COMERICA INC COM"</f>
        <v>COMERICA INC COM</v>
      </c>
      <c r="C248" s="6">
        <v>828</v>
      </c>
      <c r="D248" s="6">
        <v>40889.33</v>
      </c>
    </row>
    <row r="249" spans="2:4">
      <c r="B249" s="4" t="str">
        <f>"COMMERZBANK AG NPV"</f>
        <v>COMMERZBANK AG NPV</v>
      </c>
      <c r="C249" s="6">
        <v>18086</v>
      </c>
      <c r="D249" s="6">
        <v>83912.9</v>
      </c>
    </row>
    <row r="250" spans="2:4">
      <c r="B250" s="4" t="str">
        <f>"COMPASS GROUP ORD GBP0.1105"</f>
        <v>COMPASS GROUP ORD GBP0.1105</v>
      </c>
      <c r="C250" s="6">
        <v>7384</v>
      </c>
      <c r="D250" s="6">
        <v>112310.64</v>
      </c>
    </row>
    <row r="251" spans="2:4">
      <c r="B251" s="4" t="str">
        <f>"CONAGRA BRANDS IN COM USD5"</f>
        <v>CONAGRA BRANDS IN COM USD5</v>
      </c>
      <c r="C251" s="6">
        <v>1778</v>
      </c>
      <c r="D251" s="6">
        <v>42827.5</v>
      </c>
    </row>
    <row r="252" spans="2:4">
      <c r="B252" s="4" t="str">
        <f>"CONOCOPHILLIPS COM USD0.01"</f>
        <v>CONOCOPHILLIPS COM USD0.01</v>
      </c>
      <c r="C252" s="6">
        <v>5259</v>
      </c>
      <c r="D252" s="6">
        <v>213429.5</v>
      </c>
    </row>
    <row r="253" spans="2:4">
      <c r="B253" s="4" t="str">
        <f>"CONSOLIDATED EDISON INC COM"</f>
        <v>CONSOLIDATED EDISON INC COM</v>
      </c>
      <c r="C253" s="6">
        <v>1974</v>
      </c>
      <c r="D253" s="6">
        <v>104737.64</v>
      </c>
    </row>
    <row r="254" spans="2:4">
      <c r="B254" s="4" t="str">
        <f>"CONSTELLATION BRDS CLASS'A'COM USD0.01"</f>
        <v>CONSTELLATION BRDS CLASS'A'COM USD0.01</v>
      </c>
      <c r="C254" s="6">
        <v>319</v>
      </c>
      <c r="D254" s="6">
        <v>51472.26</v>
      </c>
    </row>
    <row r="255" spans="2:4">
      <c r="B255" s="4" t="str">
        <f>"CONTINENTAL AG ORD NPV"</f>
        <v>CONTINENTAL AG ORD NPV</v>
      </c>
      <c r="C255" s="6">
        <v>1015</v>
      </c>
      <c r="D255" s="6">
        <v>99206.01</v>
      </c>
    </row>
    <row r="256" spans="2:4">
      <c r="B256" s="4" t="str">
        <f>"CORNING INC COM USD0.50"</f>
        <v>CORNING INC COM USD0.50</v>
      </c>
      <c r="C256" s="6">
        <v>3333</v>
      </c>
      <c r="D256" s="6">
        <v>100348.39</v>
      </c>
    </row>
    <row r="257" spans="2:4">
      <c r="B257" s="4" t="str">
        <f>"CORTEVA INC COM USD0.01"</f>
        <v>CORTEVA INC COM USD0.01</v>
      </c>
      <c r="C257" s="6">
        <v>2872</v>
      </c>
      <c r="D257" s="6">
        <v>88369.23</v>
      </c>
    </row>
    <row r="258" spans="2:4">
      <c r="B258" s="4" t="str">
        <f>"COSTCO WHSL CORP NEW COM"</f>
        <v>COSTCO WHSL CORP NEW COM</v>
      </c>
      <c r="C258" s="6">
        <v>1241</v>
      </c>
      <c r="D258" s="6">
        <v>384159.27999999997</v>
      </c>
    </row>
    <row r="259" spans="2:4">
      <c r="B259" s="4" t="str">
        <f>"COVESTRO AG NPV"</f>
        <v>COVESTRO AG NPV</v>
      </c>
      <c r="C259" s="6">
        <v>1485</v>
      </c>
      <c r="D259" s="6">
        <v>68721.649999999994</v>
      </c>
    </row>
    <row r="260" spans="2:4">
      <c r="B260" s="4" t="str">
        <f>"CREDICORP COM USD5"</f>
        <v>CREDICORP COM USD5</v>
      </c>
      <c r="C260" s="6">
        <v>200</v>
      </c>
      <c r="D260" s="6">
        <v>14522.96</v>
      </c>
    </row>
    <row r="261" spans="2:4">
      <c r="B261" s="4" t="str">
        <f>"CREDIT AGRICOLE SA EUR3"</f>
        <v>CREDIT AGRICOLE SA EUR3</v>
      </c>
      <c r="C261" s="6">
        <v>13785</v>
      </c>
      <c r="D261" s="6">
        <v>138261.54</v>
      </c>
    </row>
    <row r="262" spans="2:4">
      <c r="B262" s="4" t="str">
        <f>"CREDIT SUISSE GRP CHF0.04(REGD)"</f>
        <v>CREDIT SUISSE GRP CHF0.04(REGD)</v>
      </c>
      <c r="C262" s="6">
        <v>18392</v>
      </c>
      <c r="D262" s="6">
        <v>132910.85999999999</v>
      </c>
    </row>
    <row r="263" spans="2:4">
      <c r="B263" s="4" t="str">
        <f>"CRESCENT POINT EN COM NPV"</f>
        <v>CRESCENT POINT EN COM NPV</v>
      </c>
      <c r="C263" s="6">
        <v>12340</v>
      </c>
      <c r="D263" s="6">
        <v>32420.48</v>
      </c>
    </row>
    <row r="264" spans="2:4">
      <c r="B264" s="4" t="str">
        <f>"CRH ORD EUR0.32"</f>
        <v>CRH ORD EUR0.32</v>
      </c>
      <c r="C264" s="6">
        <v>3569</v>
      </c>
      <c r="D264" s="6">
        <v>128662.45</v>
      </c>
    </row>
    <row r="265" spans="2:4">
      <c r="B265" s="4" t="str">
        <f>"CROWN CASTLE INTL COM USD0.01"</f>
        <v>CROWN CASTLE INTL COM USD0.01</v>
      </c>
      <c r="C265" s="6">
        <v>804</v>
      </c>
      <c r="D265" s="6">
        <v>111658.47</v>
      </c>
    </row>
    <row r="266" spans="2:4">
      <c r="B266" s="4" t="str">
        <f>"CROWN HOLDINGS INC COM USD5"</f>
        <v>CROWN HOLDINGS INC COM USD5</v>
      </c>
      <c r="C266" s="6">
        <v>608</v>
      </c>
      <c r="D266" s="6">
        <v>43625.04</v>
      </c>
    </row>
    <row r="267" spans="2:4">
      <c r="B267" s="4" t="str">
        <f>"CSL NPV"</f>
        <v>CSL NPV</v>
      </c>
      <c r="C267" s="6">
        <v>356</v>
      </c>
      <c r="D267" s="6">
        <v>54375.76</v>
      </c>
    </row>
    <row r="268" spans="2:4">
      <c r="B268" s="4" t="str">
        <f>"CSX CORP COM USD1"</f>
        <v>CSX CORP COM USD1</v>
      </c>
      <c r="C268" s="6">
        <v>5010</v>
      </c>
      <c r="D268" s="6">
        <v>116462.19</v>
      </c>
    </row>
    <row r="269" spans="2:4">
      <c r="B269" s="4" t="str">
        <f>"CUMMINS INC COM"</f>
        <v>CUMMINS INC COM</v>
      </c>
      <c r="C269" s="6">
        <v>577</v>
      </c>
      <c r="D269" s="6">
        <v>96322.29</v>
      </c>
    </row>
    <row r="270" spans="2:4">
      <c r="B270" s="4" t="str">
        <f>"CVS HEALTH CORP COM STK USD0.01"</f>
        <v>CVS HEALTH CORP COM STK USD0.01</v>
      </c>
      <c r="C270" s="6">
        <v>8970</v>
      </c>
      <c r="D270" s="6">
        <v>534096.77999999991</v>
      </c>
    </row>
    <row r="271" spans="2:4">
      <c r="B271" s="4" t="str">
        <f>"D R HORTON INC COM"</f>
        <v>D R HORTON INC COM</v>
      </c>
      <c r="C271" s="6">
        <v>1007</v>
      </c>
      <c r="D271" s="6">
        <v>69117.86</v>
      </c>
    </row>
    <row r="272" spans="2:4">
      <c r="B272" s="4" t="str">
        <f>"DAI NIPPON PRINTNG NPV"</f>
        <v>DAI NIPPON PRINTNG NPV</v>
      </c>
      <c r="C272" s="6">
        <v>2000</v>
      </c>
      <c r="D272" s="6">
        <v>33632.410000000003</v>
      </c>
    </row>
    <row r="273" spans="2:4">
      <c r="B273" s="4" t="str">
        <f>"DAI-ICHI LIFE HOLD NPV"</f>
        <v>DAI-ICHI LIFE HOLD NPV</v>
      </c>
      <c r="C273" s="6">
        <v>6300</v>
      </c>
      <c r="D273" s="6">
        <v>83069.17</v>
      </c>
    </row>
    <row r="274" spans="2:4">
      <c r="B274" s="4" t="str">
        <f>"DAIICHI SANKYO COM NPV"</f>
        <v>DAIICHI SANKYO COM NPV</v>
      </c>
      <c r="C274" s="6">
        <v>2400</v>
      </c>
      <c r="D274" s="6">
        <v>33965.33</v>
      </c>
    </row>
    <row r="275" spans="2:4">
      <c r="B275" s="4" t="str">
        <f>"DAIKIN INDUSTRIES NPV"</f>
        <v>DAIKIN INDUSTRIES NPV</v>
      </c>
      <c r="C275" s="6">
        <v>500</v>
      </c>
      <c r="D275" s="6">
        <v>74267.199999999997</v>
      </c>
    </row>
    <row r="276" spans="2:4">
      <c r="B276" s="4" t="str">
        <f>"DAIMLER AG ORD NPV(REGD)"</f>
        <v>DAIMLER AG ORD NPV(REGD)</v>
      </c>
      <c r="C276" s="6">
        <v>9094</v>
      </c>
      <c r="D276" s="6">
        <v>583877.67000000004</v>
      </c>
    </row>
    <row r="277" spans="2:4">
      <c r="B277" s="4" t="str">
        <f>"DAITO TRUST CONST NPV"</f>
        <v>DAITO TRUST CONST NPV</v>
      </c>
      <c r="C277" s="6">
        <v>400</v>
      </c>
      <c r="D277" s="6">
        <v>33658.620000000003</v>
      </c>
    </row>
    <row r="278" spans="2:4">
      <c r="B278" s="4" t="str">
        <f>"DAIWA HOUSE INDS NPV"</f>
        <v>DAIWA HOUSE INDS NPV</v>
      </c>
      <c r="C278" s="6">
        <v>3000</v>
      </c>
      <c r="D278" s="6">
        <v>65764.070000000007</v>
      </c>
    </row>
    <row r="279" spans="2:4">
      <c r="B279" s="4" t="str">
        <f>"DAIWA SECS GROUP NPV"</f>
        <v>DAIWA SECS GROUP NPV</v>
      </c>
      <c r="C279" s="6">
        <v>6000</v>
      </c>
      <c r="D279" s="6">
        <v>22570.15</v>
      </c>
    </row>
    <row r="280" spans="2:4">
      <c r="B280" s="4" t="str">
        <f>"DANAHER CORP COM USD0.01"</f>
        <v>DANAHER CORP COM USD0.01</v>
      </c>
      <c r="C280" s="6">
        <v>666</v>
      </c>
      <c r="D280" s="6">
        <v>142502.49</v>
      </c>
    </row>
    <row r="281" spans="2:4">
      <c r="B281" s="4" t="str">
        <f>"DANONE EUR0.25"</f>
        <v>DANONE EUR0.25</v>
      </c>
      <c r="C281" s="6">
        <v>2703</v>
      </c>
      <c r="D281" s="6">
        <v>143068.85999999999</v>
      </c>
    </row>
    <row r="282" spans="2:4">
      <c r="B282" s="4" t="str">
        <f>"DANSKE BANK A/S DKK10"</f>
        <v>DANSKE BANK A/S DKK10</v>
      </c>
      <c r="C282" s="6">
        <v>6119</v>
      </c>
      <c r="D282" s="6">
        <v>77175.710000000006</v>
      </c>
    </row>
    <row r="283" spans="2:4">
      <c r="B283" s="4" t="str">
        <f>"DARDEN RESTAURANTS INC COM"</f>
        <v>DARDEN RESTAURANTS INC COM</v>
      </c>
      <c r="C283" s="6">
        <v>358</v>
      </c>
      <c r="D283" s="6">
        <v>37803.26</v>
      </c>
    </row>
    <row r="284" spans="2:4">
      <c r="B284" s="4" t="str">
        <f>"DAVITA INC COM USD0.001"</f>
        <v>DAVITA INC COM USD0.001</v>
      </c>
      <c r="C284" s="6">
        <v>651</v>
      </c>
      <c r="D284" s="6">
        <v>56304.35</v>
      </c>
    </row>
    <row r="285" spans="2:4">
      <c r="B285" s="4" t="str">
        <f>"DBS GROUP HLDGS SGD1"</f>
        <v>DBS GROUP HLDGS SGD1</v>
      </c>
      <c r="C285" s="6">
        <v>8060</v>
      </c>
      <c r="D285" s="6">
        <v>130189.69</v>
      </c>
    </row>
    <row r="286" spans="2:4">
      <c r="B286" s="4" t="str">
        <f>"DCC ORD EUR0.25"</f>
        <v>DCC ORD EUR0.25</v>
      </c>
      <c r="C286" s="6">
        <v>449</v>
      </c>
      <c r="D286" s="6">
        <v>27056.74</v>
      </c>
    </row>
    <row r="287" spans="2:4">
      <c r="B287" s="4" t="str">
        <f>"DEERE &amp; CO COM USD1"</f>
        <v>DEERE &amp; CO COM USD1</v>
      </c>
      <c r="C287" s="6">
        <v>731</v>
      </c>
      <c r="D287" s="6">
        <v>190514.25999999998</v>
      </c>
    </row>
    <row r="288" spans="2:4">
      <c r="B288" s="4" t="str">
        <f>"DELL TECHNOLOGIES COM USD0.01 CL C"</f>
        <v>DELL TECHNOLOGIES COM USD0.01 CL C</v>
      </c>
      <c r="C288" s="6">
        <v>709</v>
      </c>
      <c r="D288" s="6">
        <v>49270.74</v>
      </c>
    </row>
    <row r="289" spans="2:4">
      <c r="B289" s="4" t="str">
        <f>"DELTA AIRLINES INC COM USD0.0001"</f>
        <v>DELTA AIRLINES INC COM USD0.0001</v>
      </c>
      <c r="C289" s="6">
        <v>1362</v>
      </c>
      <c r="D289" s="6">
        <v>39086.42</v>
      </c>
    </row>
    <row r="290" spans="2:4">
      <c r="B290" s="4" t="str">
        <f>"DENSO CORP NPV"</f>
        <v>DENSO CORP NPV</v>
      </c>
      <c r="C290" s="6">
        <v>2100</v>
      </c>
      <c r="D290" s="6">
        <v>102969.43</v>
      </c>
    </row>
    <row r="291" spans="2:4">
      <c r="B291" s="4" t="str">
        <f>"DENTSU GROUP INC NPV"</f>
        <v>DENTSU GROUP INC NPV</v>
      </c>
      <c r="C291" s="6">
        <v>1000</v>
      </c>
      <c r="D291" s="6">
        <v>25134.03</v>
      </c>
    </row>
    <row r="292" spans="2:4">
      <c r="B292" s="4" t="str">
        <f>"DEUTSCHE BANK AG NPV(REGD)"</f>
        <v>DEUTSCHE BANK AG NPV(REGD)</v>
      </c>
      <c r="C292" s="6">
        <v>27116</v>
      </c>
      <c r="D292" s="6">
        <v>246483.95</v>
      </c>
    </row>
    <row r="293" spans="2:4">
      <c r="B293" s="4" t="str">
        <f>"DEUTSCHE BOERSE AG NPV(REGD)"</f>
        <v>DEUTSCHE BOERSE AG NPV(REGD)</v>
      </c>
      <c r="C293" s="6">
        <v>373</v>
      </c>
      <c r="D293" s="6">
        <v>44775.92</v>
      </c>
    </row>
    <row r="294" spans="2:4">
      <c r="B294" s="4" t="str">
        <f>"DEUTSCHE LUFTHANSA ORD NPV (REGD)(VINK)"</f>
        <v>DEUTSCHE LUFTHANSA ORD NPV (REGD)(VINK)</v>
      </c>
      <c r="C294" s="6">
        <v>5980</v>
      </c>
      <c r="D294" s="6">
        <v>48696.85</v>
      </c>
    </row>
    <row r="295" spans="2:4">
      <c r="B295" s="4" t="str">
        <f>"DEUTSCHE POST AG NPV(REGD)"</f>
        <v>DEUTSCHE POST AG NPV(REGD)</v>
      </c>
      <c r="C295" s="6">
        <v>5048</v>
      </c>
      <c r="D295" s="6">
        <v>245877.51</v>
      </c>
    </row>
    <row r="296" spans="2:4">
      <c r="B296" s="4" t="str">
        <f>"DEUTSCHE TELEKOM NPV(REGD)"</f>
        <v>DEUTSCHE TELEKOM NPV(REGD)</v>
      </c>
      <c r="C296" s="6">
        <v>22891</v>
      </c>
      <c r="D296" s="6">
        <v>341773.98</v>
      </c>
    </row>
    <row r="297" spans="2:4">
      <c r="B297" s="4" t="str">
        <f>"DEUTSCHE WOHNEN AG NPV (BR)"</f>
        <v>DEUTSCHE WOHNEN AG NPV (BR)</v>
      </c>
      <c r="C297" s="6">
        <v>977</v>
      </c>
      <c r="D297" s="6">
        <v>43862.94</v>
      </c>
    </row>
    <row r="298" spans="2:4">
      <c r="B298" s="4" t="str">
        <f>"DEVON ENERGY CORP NEW COM"</f>
        <v>DEVON ENERGY CORP NEW COM</v>
      </c>
      <c r="C298" s="6">
        <v>2672</v>
      </c>
      <c r="D298" s="6">
        <v>49659.78</v>
      </c>
    </row>
    <row r="299" spans="2:4">
      <c r="B299" s="4" t="str">
        <f>"DIAGEO ORD GBP0.28 101/108"</f>
        <v>DIAGEO ORD GBP0.28 101/108</v>
      </c>
      <c r="C299" s="6">
        <v>5631</v>
      </c>
      <c r="D299" s="6">
        <v>201054.86</v>
      </c>
    </row>
    <row r="300" spans="2:4">
      <c r="B300" s="4" t="str">
        <f>"DIAMONDBACK ENERGY COM USD0.01"</f>
        <v>DIAMONDBACK ENERGY COM USD0.01</v>
      </c>
      <c r="C300" s="6">
        <v>371</v>
      </c>
      <c r="D300" s="6">
        <v>20581.310000000001</v>
      </c>
    </row>
    <row r="301" spans="2:4">
      <c r="B301" s="4" t="str">
        <f>"DIGITAL REALTY TRU COM STK USD0.01"</f>
        <v>DIGITAL REALTY TRU COM STK USD0.01</v>
      </c>
      <c r="C301" s="6">
        <v>534</v>
      </c>
      <c r="D301" s="6">
        <v>59209.15</v>
      </c>
    </row>
    <row r="302" spans="2:4">
      <c r="B302" s="4" t="str">
        <f>"DIRECT LINE INSURA ORD GBP 0.109090909"</f>
        <v>DIRECT LINE INSURA ORD GBP 0.109090909</v>
      </c>
      <c r="C302" s="6">
        <v>11259</v>
      </c>
      <c r="D302" s="6">
        <v>33518.04</v>
      </c>
    </row>
    <row r="303" spans="2:4">
      <c r="B303" s="4" t="str">
        <f>"DISCOVER FINL SVCS COM STK USD0.01"</f>
        <v>DISCOVER FINL SVCS COM STK USD0.01</v>
      </c>
      <c r="C303" s="6">
        <v>1742</v>
      </c>
      <c r="D303" s="6">
        <v>155763.25</v>
      </c>
    </row>
    <row r="304" spans="2:4">
      <c r="B304" s="4" t="str">
        <f>"DISCOVERY INC COM USD0.01 SER A"</f>
        <v>DISCOVERY INC COM USD0.01 SER A</v>
      </c>
      <c r="C304" s="6">
        <v>604</v>
      </c>
      <c r="D304" s="6">
        <v>12602.61</v>
      </c>
    </row>
    <row r="305" spans="2:4">
      <c r="B305" s="4" t="str">
        <f>"DISCOVERY INC COM USD0.01 SER C"</f>
        <v>DISCOVERY INC COM USD0.01 SER C</v>
      </c>
      <c r="C305" s="6">
        <v>1526</v>
      </c>
      <c r="D305" s="6">
        <v>29755</v>
      </c>
    </row>
    <row r="306" spans="2:4">
      <c r="B306" s="4" t="str">
        <f>"DISH NETWORK CORPO CLASS'A'COM USD0.01"</f>
        <v>DISH NETWORK CORPO CLASS'A'COM USD0.01</v>
      </c>
      <c r="C306" s="6">
        <v>1218</v>
      </c>
      <c r="D306" s="6">
        <v>36697.25</v>
      </c>
    </row>
    <row r="307" spans="2:4">
      <c r="B307" s="4" t="str">
        <f>"DNB BANK ASA NOK12.50"</f>
        <v>DNB BANK ASA NOK12.50</v>
      </c>
      <c r="C307" s="6">
        <v>5702</v>
      </c>
      <c r="D307" s="6">
        <v>84043.17</v>
      </c>
    </row>
    <row r="308" spans="2:4">
      <c r="B308" s="4" t="str">
        <f>"DOLLAR GENERAL CP COM USD0.875"</f>
        <v>DOLLAR GENERAL CP COM USD0.875</v>
      </c>
      <c r="C308" s="6">
        <v>467</v>
      </c>
      <c r="D308" s="6">
        <v>78140.67</v>
      </c>
    </row>
    <row r="309" spans="2:4">
      <c r="B309" s="4" t="str">
        <f>"DOLLAR TREE INC"</f>
        <v>DOLLAR TREE INC</v>
      </c>
      <c r="C309" s="6">
        <v>780</v>
      </c>
      <c r="D309" s="6">
        <v>55983.17</v>
      </c>
    </row>
    <row r="310" spans="2:4">
      <c r="B310" s="4" t="str">
        <f>"DOMINION ENERGY IN COM STK NPV"</f>
        <v>DOMINION ENERGY IN COM STK NPV</v>
      </c>
      <c r="C310" s="6">
        <v>3478</v>
      </c>
      <c r="D310" s="6">
        <v>187289.43</v>
      </c>
    </row>
    <row r="311" spans="2:4">
      <c r="B311" s="4" t="str">
        <f>"DOVER CORP COM"</f>
        <v>DOVER CORP COM</v>
      </c>
      <c r="C311" s="6">
        <v>447</v>
      </c>
      <c r="D311" s="6">
        <v>53729.38</v>
      </c>
    </row>
    <row r="312" spans="2:4">
      <c r="B312" s="4" t="str">
        <f>"DOW INC COM USD0.01"</f>
        <v>DOW INC COM USD0.01</v>
      </c>
      <c r="C312" s="6">
        <v>2756</v>
      </c>
      <c r="D312" s="6">
        <v>123215.71</v>
      </c>
    </row>
    <row r="313" spans="2:4">
      <c r="B313" s="4" t="s">
        <v>6</v>
      </c>
      <c r="C313" s="6">
        <v>16323</v>
      </c>
      <c r="D313" s="6">
        <v>65781.69</v>
      </c>
    </row>
    <row r="314" spans="2:4">
      <c r="B314" s="4" t="str">
        <f>"DSV PANALPINA A/S DKK1"</f>
        <v>DSV PANALPINA A/S DKK1</v>
      </c>
      <c r="C314" s="6">
        <v>71</v>
      </c>
      <c r="D314" s="6">
        <v>12439.11</v>
      </c>
    </row>
    <row r="315" spans="2:4">
      <c r="B315" s="4" t="str">
        <f>"DT MIDSTREAM INC COM USD0.01 WI"</f>
        <v>DT MIDSTREAM INC COM USD0.01 WI</v>
      </c>
      <c r="C315" s="6">
        <v>394</v>
      </c>
      <c r="D315" s="6">
        <v>12015.39</v>
      </c>
    </row>
    <row r="316" spans="2:4">
      <c r="B316" s="4" t="str">
        <f>"DTE ENERGY CO COM"</f>
        <v>DTE ENERGY CO COM</v>
      </c>
      <c r="C316" s="6">
        <v>788</v>
      </c>
      <c r="D316" s="6">
        <v>66492.72</v>
      </c>
    </row>
    <row r="317" spans="2:4">
      <c r="B317" s="4" t="str">
        <f>"DUKE ENERGY CORP COM USD0.001 (POST REV SPLT"</f>
        <v>DUKE ENERGY CORP COM USD0.001 (POST REV SPLT</v>
      </c>
      <c r="C317" s="6">
        <v>4027</v>
      </c>
      <c r="D317" s="6">
        <v>304439.87</v>
      </c>
    </row>
    <row r="318" spans="2:4">
      <c r="B318" s="4" t="str">
        <f>"DUPONT DE NEMOURS COM USD0.01"</f>
        <v>DUPONT DE NEMOURS COM USD0.01</v>
      </c>
      <c r="C318" s="6">
        <v>4620</v>
      </c>
      <c r="D318" s="6">
        <v>250231.31</v>
      </c>
    </row>
    <row r="319" spans="2:4">
      <c r="B319" s="4" t="str">
        <f>"DXC TECHNOLOGY CO COM USD0.01"</f>
        <v>DXC TECHNOLOGY CO COM USD0.01</v>
      </c>
      <c r="C319" s="6">
        <v>3352</v>
      </c>
      <c r="D319" s="6">
        <v>96387.93</v>
      </c>
    </row>
    <row r="320" spans="2:4">
      <c r="B320" s="4" t="str">
        <f>"E.ON SE NPV"</f>
        <v>E.ON SE NPV</v>
      </c>
      <c r="C320" s="6">
        <v>16301</v>
      </c>
      <c r="D320" s="6">
        <v>144199.6</v>
      </c>
    </row>
    <row r="321" spans="2:4">
      <c r="B321" s="4" t="str">
        <f>"EAST JAPAN RAILWAY NPV"</f>
        <v>EAST JAPAN RAILWAY NPV</v>
      </c>
      <c r="C321" s="6">
        <v>2000</v>
      </c>
      <c r="D321" s="6">
        <v>95418.53</v>
      </c>
    </row>
    <row r="322" spans="2:4">
      <c r="B322" s="4" t="str">
        <f>"EASTMAN CHEM CO COM"</f>
        <v>EASTMAN CHEM CO COM</v>
      </c>
      <c r="C322" s="6">
        <v>709</v>
      </c>
      <c r="D322" s="6">
        <v>57480.84</v>
      </c>
    </row>
    <row r="323" spans="2:4">
      <c r="B323" s="4" t="str">
        <f>"EATON CORP PLC COM USD0.01"</f>
        <v>EATON CORP PLC COM USD0.01</v>
      </c>
      <c r="C323" s="6">
        <v>1648</v>
      </c>
      <c r="D323" s="6">
        <v>187338.73</v>
      </c>
    </row>
    <row r="324" spans="2:4">
      <c r="B324" s="4" t="str">
        <f>"EBAY INC COM USD0.001"</f>
        <v>EBAY INC COM USD0.001</v>
      </c>
      <c r="C324" s="6">
        <v>1393</v>
      </c>
      <c r="D324" s="6">
        <v>68340.009999999995</v>
      </c>
    </row>
    <row r="325" spans="2:4">
      <c r="B325" s="4" t="str">
        <f>"ECOLAB INC COM"</f>
        <v>ECOLAB INC COM</v>
      </c>
      <c r="C325" s="6">
        <v>445</v>
      </c>
      <c r="D325" s="6">
        <v>70679.58</v>
      </c>
    </row>
    <row r="326" spans="2:4">
      <c r="B326" s="4" t="str">
        <f>"EDF EUR0.5"</f>
        <v>EDF EUR0.5</v>
      </c>
      <c r="C326" s="6">
        <v>7348</v>
      </c>
      <c r="D326" s="6">
        <v>64330.27</v>
      </c>
    </row>
    <row r="327" spans="2:4">
      <c r="B327" s="4" t="str">
        <f>"EDISON INTL COM"</f>
        <v>EDISON INTL COM</v>
      </c>
      <c r="C327" s="6">
        <v>2138</v>
      </c>
      <c r="D327" s="6">
        <v>84672.91</v>
      </c>
    </row>
    <row r="328" spans="2:4">
      <c r="B328" s="4" t="str">
        <f>"EDP ENERGIAS PORTU EUR1(REGD)"</f>
        <v>EDP ENERGIAS PORTU EUR1(REGD)</v>
      </c>
      <c r="C328" s="6">
        <v>18083</v>
      </c>
      <c r="D328" s="6">
        <v>67504.75</v>
      </c>
    </row>
    <row r="329" spans="2:4">
      <c r="B329" s="4" t="str">
        <f>"EDWARDS LIFESCIENCES CORP COM"</f>
        <v>EDWARDS LIFESCIENCES CORP COM</v>
      </c>
      <c r="C329" s="6">
        <v>199</v>
      </c>
      <c r="D329" s="6">
        <v>16069.14</v>
      </c>
    </row>
    <row r="330" spans="2:4">
      <c r="B330" s="4" t="str">
        <f>"EIFFAGE EUR4"</f>
        <v>EIFFAGE EUR4</v>
      </c>
      <c r="C330" s="6">
        <v>607</v>
      </c>
      <c r="D330" s="6">
        <v>44490.92</v>
      </c>
    </row>
    <row r="331" spans="2:4">
      <c r="B331" s="4" t="str">
        <f>"EISAI CO NPV"</f>
        <v>EISAI CO NPV</v>
      </c>
      <c r="C331" s="6">
        <v>700</v>
      </c>
      <c r="D331" s="6">
        <v>41208.879999999997</v>
      </c>
    </row>
    <row r="332" spans="2:4">
      <c r="B332" s="4" t="str">
        <f>"ELECTROLUX AB SER'B'NPV (POST SPLIT)"</f>
        <v>ELECTROLUX AB SER'B'NPV (POST SPLIT)</v>
      </c>
      <c r="C332" s="6">
        <v>1279</v>
      </c>
      <c r="D332" s="6">
        <v>24141.54</v>
      </c>
    </row>
    <row r="333" spans="2:4">
      <c r="B333" s="4" t="str">
        <f>"ELECTROLUX PROFESS SER'B'NPV"</f>
        <v>ELECTROLUX PROFESS SER'B'NPV</v>
      </c>
      <c r="C333" s="6">
        <v>1279</v>
      </c>
      <c r="D333" s="6">
        <v>6842.6</v>
      </c>
    </row>
    <row r="334" spans="2:4">
      <c r="B334" s="4" t="str">
        <f>"ELECTRONIC ARTS INC COM"</f>
        <v>ELECTRONIC ARTS INC COM</v>
      </c>
      <c r="C334" s="6">
        <v>369</v>
      </c>
      <c r="D334" s="6">
        <v>38207.1</v>
      </c>
    </row>
    <row r="335" spans="2:4">
      <c r="B335" s="4" t="str">
        <f>"ELI LILLY AND CO COM NPV"</f>
        <v>ELI LILLY AND CO COM NPV</v>
      </c>
      <c r="C335" s="6">
        <v>1266</v>
      </c>
      <c r="D335" s="6">
        <v>221721.87</v>
      </c>
    </row>
    <row r="336" spans="2:4">
      <c r="B336" s="4" t="str">
        <f>"E-MART CO LTD KRW5000"</f>
        <v>E-MART CO LTD KRW5000</v>
      </c>
      <c r="C336" s="6">
        <v>241</v>
      </c>
      <c r="D336" s="6">
        <v>25392.21</v>
      </c>
    </row>
    <row r="337" spans="2:4">
      <c r="B337" s="4" t="str">
        <f>"EMERA INC COM"</f>
        <v>EMERA INC COM</v>
      </c>
      <c r="C337" s="6">
        <v>1105</v>
      </c>
      <c r="D337" s="6">
        <v>37351.15</v>
      </c>
    </row>
    <row r="338" spans="2:4">
      <c r="B338" s="4" t="str">
        <f>"EMERSON ELEC CO COM"</f>
        <v>EMERSON ELEC CO COM</v>
      </c>
      <c r="C338" s="6">
        <v>2196</v>
      </c>
      <c r="D338" s="6">
        <v>159351.56</v>
      </c>
    </row>
    <row r="339" spans="2:4">
      <c r="B339" s="4" t="str">
        <f>"ENAGAS SA EUR1.50"</f>
        <v>ENAGAS SA EUR1.50</v>
      </c>
      <c r="C339" s="6">
        <v>1075</v>
      </c>
      <c r="D339" s="6">
        <v>17750.11</v>
      </c>
    </row>
    <row r="340" spans="2:4">
      <c r="B340" s="4" t="str">
        <f>"ENBRIDGE INC COM NPV"</f>
        <v>ENBRIDGE INC COM NPV</v>
      </c>
      <c r="C340" s="6">
        <v>10195</v>
      </c>
      <c r="D340" s="6">
        <v>288878.52</v>
      </c>
    </row>
    <row r="341" spans="2:4">
      <c r="B341" s="4" t="str">
        <f>"ENDEAVOUR GROUP LI NPV"</f>
        <v>ENDEAVOUR GROUP LI NPV</v>
      </c>
      <c r="C341" s="6">
        <v>4367</v>
      </c>
      <c r="D341" s="6">
        <v>15306.98</v>
      </c>
    </row>
    <row r="342" spans="2:4">
      <c r="B342" s="4" t="str">
        <f>"ENDESA SA EUR1.2"</f>
        <v>ENDESA SA EUR1.2</v>
      </c>
      <c r="C342" s="6">
        <v>3035</v>
      </c>
      <c r="D342" s="6">
        <v>53089.87</v>
      </c>
    </row>
    <row r="343" spans="2:4">
      <c r="B343" s="4" t="str">
        <f>"ENEL EUR1"</f>
        <v>ENEL EUR1</v>
      </c>
      <c r="C343" s="6">
        <v>45363</v>
      </c>
      <c r="D343" s="6">
        <v>301001.51</v>
      </c>
    </row>
    <row r="344" spans="2:4">
      <c r="B344" s="4" t="str">
        <f>"ENEOS HOLDINGS INC NPV"</f>
        <v>ENEOS HOLDINGS INC NPV</v>
      </c>
      <c r="C344" s="6">
        <v>16800</v>
      </c>
      <c r="D344" s="6">
        <v>50590.17</v>
      </c>
    </row>
    <row r="345" spans="2:4">
      <c r="B345" s="4" t="str">
        <f>"ENGIE EUR1"</f>
        <v>ENGIE EUR1</v>
      </c>
      <c r="C345" s="6">
        <v>19041</v>
      </c>
      <c r="D345" s="6">
        <v>182728.71</v>
      </c>
    </row>
    <row r="346" spans="2:4">
      <c r="B346" s="4" t="str">
        <f>"ENI SPA EUR1"</f>
        <v>ENI SPA EUR1</v>
      </c>
      <c r="C346" s="6">
        <v>23113</v>
      </c>
      <c r="D346" s="6">
        <v>197598.97</v>
      </c>
    </row>
    <row r="347" spans="2:4">
      <c r="B347" s="4" t="str">
        <f>"ENTERGY CORP NEW COM"</f>
        <v>ENTERGY CORP NEW COM</v>
      </c>
      <c r="C347" s="6">
        <v>1000</v>
      </c>
      <c r="D347" s="6">
        <v>74024.53</v>
      </c>
    </row>
    <row r="348" spans="2:4">
      <c r="B348" s="4" t="str">
        <f>"EOG RESOURCES INC COM USD0.01"</f>
        <v>EOG RESOURCES INC COM USD0.01</v>
      </c>
      <c r="C348" s="6">
        <v>1410</v>
      </c>
      <c r="D348" s="6">
        <v>73889.740000000005</v>
      </c>
    </row>
    <row r="349" spans="2:4">
      <c r="B349" s="4" t="str">
        <f>"EQUINIX INC COM USD0.001 NEW"</f>
        <v>EQUINIX INC COM USD0.001 NEW</v>
      </c>
      <c r="C349" s="6">
        <v>120</v>
      </c>
      <c r="D349" s="6">
        <v>70808.929999999993</v>
      </c>
    </row>
    <row r="350" spans="2:4">
      <c r="B350" s="4" t="str">
        <f>"EQUINOR ASA NOK2.50"</f>
        <v>EQUINOR ASA NOK2.50</v>
      </c>
      <c r="C350" s="6">
        <v>5485</v>
      </c>
      <c r="D350" s="6">
        <v>77000.11</v>
      </c>
    </row>
    <row r="351" spans="2:4">
      <c r="B351" s="4" t="str">
        <f>"EQUITABLE HOLDINGS COM USD0.01"</f>
        <v>EQUITABLE HOLDINGS COM USD0.01</v>
      </c>
      <c r="C351" s="6">
        <v>2593</v>
      </c>
      <c r="D351" s="6">
        <v>57572.49</v>
      </c>
    </row>
    <row r="352" spans="2:4">
      <c r="B352" s="4" t="str">
        <f>"EQUITY RESIDENTIAL SBI USD0.01"</f>
        <v>EQUITY RESIDENTIAL SBI USD0.01</v>
      </c>
      <c r="C352" s="6">
        <v>1311</v>
      </c>
      <c r="D352" s="6">
        <v>79328.539999999994</v>
      </c>
    </row>
    <row r="353" spans="2:4">
      <c r="B353" s="4" t="str">
        <f>"ERICSSON SER'B' NPV"</f>
        <v>ERICSSON SER'B' NPV</v>
      </c>
      <c r="C353" s="6">
        <v>10580</v>
      </c>
      <c r="D353" s="6">
        <v>87442.11</v>
      </c>
    </row>
    <row r="354" spans="2:4">
      <c r="B354" s="4" t="str">
        <f>"ERSTE GROUP BK AG NPV"</f>
        <v>ERSTE GROUP BK AG NPV</v>
      </c>
      <c r="C354" s="6">
        <v>2674</v>
      </c>
      <c r="D354" s="6">
        <v>74598.36</v>
      </c>
    </row>
    <row r="355" spans="2:4">
      <c r="B355" s="4" t="str">
        <f>"ESSEX PROP TRUST COM USD0.0001"</f>
        <v>ESSEX PROP TRUST COM USD0.0001</v>
      </c>
      <c r="C355" s="6">
        <v>143</v>
      </c>
      <c r="D355" s="6">
        <v>33745.68</v>
      </c>
    </row>
    <row r="356" spans="2:4">
      <c r="B356" s="4" t="str">
        <f>"ESSILORLUXOTTICA EUR0.18"</f>
        <v>ESSILORLUXOTTICA EUR0.18</v>
      </c>
      <c r="C356" s="6">
        <v>679</v>
      </c>
      <c r="D356" s="6">
        <v>92170.3</v>
      </c>
    </row>
    <row r="357" spans="2:4">
      <c r="B357" s="4" t="str">
        <f>"ESSITY AB SER'B'NPV"</f>
        <v>ESSITY AB SER'B'NPV</v>
      </c>
      <c r="C357" s="6">
        <v>1954</v>
      </c>
      <c r="D357" s="6">
        <v>45980.47</v>
      </c>
    </row>
    <row r="358" spans="2:4">
      <c r="B358" s="4" t="str">
        <f>"ESTEE LAUDER COS CLASS'A'COM USD0.01"</f>
        <v>ESTEE LAUDER COS CLASS'A'COM USD0.01</v>
      </c>
      <c r="C358" s="6">
        <v>223</v>
      </c>
      <c r="D358" s="6">
        <v>53543.42</v>
      </c>
    </row>
    <row r="359" spans="2:4">
      <c r="B359" s="4" t="str">
        <f>"Euro Variation Margin"</f>
        <v>Euro Variation Margin</v>
      </c>
      <c r="C359" s="6">
        <v>192.68</v>
      </c>
      <c r="D359" s="6">
        <v>164.33</v>
      </c>
    </row>
    <row r="360" spans="2:4">
      <c r="B360" s="4" t="str">
        <f>"EVEREST RE GROUP COM USD0.01"</f>
        <v>EVEREST RE GROUP COM USD0.01</v>
      </c>
      <c r="C360" s="6">
        <v>181</v>
      </c>
      <c r="D360" s="6">
        <v>32914.18</v>
      </c>
    </row>
    <row r="361" spans="2:4">
      <c r="B361" s="4" t="str">
        <f>"EVERGY INC COM NPV"</f>
        <v>EVERGY INC COM NPV</v>
      </c>
      <c r="C361" s="6">
        <v>1143</v>
      </c>
      <c r="D361" s="6">
        <v>53617.05</v>
      </c>
    </row>
    <row r="362" spans="2:4">
      <c r="B362" s="4" t="str">
        <f>"EVERSOURCE ENERGY COM USD5"</f>
        <v>EVERSOURCE ENERGY COM USD5</v>
      </c>
      <c r="C362" s="6">
        <v>1485</v>
      </c>
      <c r="D362" s="6">
        <v>92142.95</v>
      </c>
    </row>
    <row r="363" spans="2:4">
      <c r="B363" s="4" t="str">
        <f>"EVONIK INDUSTRIES NPV"</f>
        <v>EVONIK INDUSTRIES NPV</v>
      </c>
      <c r="C363" s="6">
        <v>1317</v>
      </c>
      <c r="D363" s="6">
        <v>32910.97</v>
      </c>
    </row>
    <row r="364" spans="2:4">
      <c r="B364" s="4" t="str">
        <f>"EXELON CORP COM NPV"</f>
        <v>EXELON CORP COM NPV</v>
      </c>
      <c r="C364" s="6">
        <v>6767</v>
      </c>
      <c r="D364" s="6">
        <v>227781.21</v>
      </c>
    </row>
    <row r="365" spans="2:4">
      <c r="B365" s="4" t="str">
        <f>"EXOR NV EUR0.01"</f>
        <v>EXOR NV EUR0.01</v>
      </c>
      <c r="C365" s="6">
        <v>238</v>
      </c>
      <c r="D365" s="6">
        <v>14083.11</v>
      </c>
    </row>
    <row r="366" spans="2:4">
      <c r="B366" s="4" t="str">
        <f>"EXPEDIA GROUP INC COM USD0.001"</f>
        <v>EXPEDIA GROUP INC COM USD0.001</v>
      </c>
      <c r="C366" s="6">
        <v>334</v>
      </c>
      <c r="D366" s="6">
        <v>38645.360000000001</v>
      </c>
    </row>
    <row r="367" spans="2:4">
      <c r="B367" s="4" t="str">
        <f>"EXPEDTRS INTL WASH COM USD0.01"</f>
        <v>EXPEDTRS INTL WASH COM USD0.01</v>
      </c>
      <c r="C367" s="6">
        <v>156</v>
      </c>
      <c r="D367" s="6">
        <v>14389.9</v>
      </c>
    </row>
    <row r="368" spans="2:4">
      <c r="B368" s="4" t="str">
        <f>"EXPERIAN ORD USD0.10"</f>
        <v>EXPERIAN ORD USD0.10</v>
      </c>
      <c r="C368" s="6">
        <v>1862</v>
      </c>
      <c r="D368" s="6">
        <v>58988.160000000003</v>
      </c>
    </row>
    <row r="369" spans="2:4">
      <c r="B369" s="4" t="str">
        <f>"EXXON MOBIL CORP COM NPV"</f>
        <v>EXXON MOBIL CORP COM NPV</v>
      </c>
      <c r="C369" s="6">
        <v>22917</v>
      </c>
      <c r="D369" s="6">
        <v>948920.55</v>
      </c>
    </row>
    <row r="370" spans="2:4">
      <c r="B370" s="4" t="str">
        <f>"FACEBOOK INC COM USD0.000006 CL 'A'"</f>
        <v>FACEBOOK INC COM USD0.000006 CL 'A'</v>
      </c>
      <c r="C370" s="6">
        <v>1980</v>
      </c>
      <c r="D370" s="6">
        <v>507407.49</v>
      </c>
    </row>
    <row r="371" spans="2:4">
      <c r="B371" s="4" t="str">
        <f>"FAIRFAX FINL HLDGS SUB-VTG COM NPV"</f>
        <v>FAIRFAX FINL HLDGS SUB-VTG COM NPV</v>
      </c>
      <c r="C371" s="6">
        <v>190</v>
      </c>
      <c r="D371" s="6">
        <v>57530.6</v>
      </c>
    </row>
    <row r="372" spans="2:4">
      <c r="B372" s="4" t="str">
        <f>"FANUC CORP NPV"</f>
        <v>FANUC CORP NPV</v>
      </c>
      <c r="C372" s="6">
        <v>500</v>
      </c>
      <c r="D372" s="6">
        <v>79886.8</v>
      </c>
    </row>
    <row r="373" spans="2:4">
      <c r="B373" s="4" t="str">
        <f>"FAST RETAILING CO NPV"</f>
        <v>FAST RETAILING CO NPV</v>
      </c>
      <c r="C373" s="6">
        <v>100</v>
      </c>
      <c r="D373" s="6">
        <v>48443.25</v>
      </c>
    </row>
    <row r="374" spans="2:4">
      <c r="B374" s="4" t="str">
        <f>"FASTENAL COM USD0.01"</f>
        <v>FASTENAL COM USD0.01</v>
      </c>
      <c r="C374" s="6">
        <v>1136</v>
      </c>
      <c r="D374" s="6">
        <v>44944.86</v>
      </c>
    </row>
    <row r="375" spans="2:4">
      <c r="B375" s="4" t="str">
        <f>"FAURECIA EUR7"</f>
        <v>FAURECIA EUR7</v>
      </c>
      <c r="C375" s="6">
        <v>1091</v>
      </c>
      <c r="D375" s="6">
        <v>35014.370000000003</v>
      </c>
    </row>
    <row r="376" spans="2:4">
      <c r="B376" s="4" t="str">
        <f>"FEDEX CORP COM USD0.10"</f>
        <v>FEDEX CORP COM USD0.10</v>
      </c>
      <c r="C376" s="6">
        <v>953</v>
      </c>
      <c r="D376" s="6">
        <v>191888.63</v>
      </c>
    </row>
    <row r="377" spans="2:4">
      <c r="B377" s="4" t="str">
        <f>"FERGUSON PLC (NEW) ORD GBP0.10"</f>
        <v>FERGUSON PLC (NEW) ORD GBP0.10</v>
      </c>
      <c r="C377" s="6">
        <v>1063</v>
      </c>
      <c r="D377" s="6">
        <v>107256.7</v>
      </c>
    </row>
    <row r="378" spans="2:4">
      <c r="B378" s="4" t="str">
        <f>"FERROVIAL SA EUR0.2"</f>
        <v>FERROVIAL SA EUR0.2</v>
      </c>
      <c r="C378" s="6">
        <v>1927</v>
      </c>
      <c r="D378" s="6">
        <v>41087.43</v>
      </c>
    </row>
    <row r="379" spans="2:4">
      <c r="B379" s="4" t="str">
        <f>"FIDELITY NATL FINL FNF GROUP COM USD0.0001"</f>
        <v>FIDELITY NATL FINL FNF GROUP COM USD0.0001</v>
      </c>
      <c r="C379" s="6">
        <v>1141</v>
      </c>
      <c r="D379" s="6">
        <v>36609.49</v>
      </c>
    </row>
    <row r="380" spans="2:4">
      <c r="B380" s="4" t="str">
        <f>"FIDELITY NATL INF COM STK USD0.01"</f>
        <v>FIDELITY NATL INF COM STK USD0.01</v>
      </c>
      <c r="C380" s="6">
        <v>1081</v>
      </c>
      <c r="D380" s="6">
        <v>115886.68</v>
      </c>
    </row>
    <row r="381" spans="2:4">
      <c r="B381" s="4" t="str">
        <f>"FIFTH THIRD BANCORP COM"</f>
        <v>FIFTH THIRD BANCORP COM</v>
      </c>
      <c r="C381" s="6">
        <v>4077</v>
      </c>
      <c r="D381" s="6">
        <v>106415.17</v>
      </c>
    </row>
    <row r="382" spans="2:4">
      <c r="B382" s="4" t="str">
        <f>"FIRST REPUBLIC BAN COM USD0.01"</f>
        <v>FIRST REPUBLIC BAN COM USD0.01</v>
      </c>
      <c r="C382" s="6">
        <v>282</v>
      </c>
      <c r="D382" s="6">
        <v>39593.18</v>
      </c>
    </row>
    <row r="383" spans="2:4">
      <c r="B383" s="4" t="str">
        <f>"FIRSTENERGY CORP COM USD0.10"</f>
        <v>FIRSTENERGY CORP COM USD0.10</v>
      </c>
      <c r="C383" s="6">
        <v>3423</v>
      </c>
      <c r="D383" s="6">
        <v>94342.69</v>
      </c>
    </row>
    <row r="384" spans="2:4">
      <c r="B384" s="4" t="str">
        <f>"FISERV INC COM USD0.01"</f>
        <v>FISERV INC COM USD0.01</v>
      </c>
      <c r="C384" s="6">
        <v>928</v>
      </c>
      <c r="D384" s="6">
        <v>76831.070000000007</v>
      </c>
    </row>
    <row r="385" spans="2:4">
      <c r="B385" s="4" t="str">
        <f>"FLEX LTD COM USD0.01"</f>
        <v>FLEX LTD COM USD0.01</v>
      </c>
      <c r="C385" s="6">
        <v>6522</v>
      </c>
      <c r="D385" s="6">
        <v>84295.57</v>
      </c>
    </row>
    <row r="386" spans="2:4">
      <c r="B386" s="4" t="str">
        <f>"FLUOR CORP NEW COM"</f>
        <v>FLUOR CORP NEW COM</v>
      </c>
      <c r="C386" s="6">
        <v>3211</v>
      </c>
      <c r="D386" s="6">
        <v>38476.11</v>
      </c>
    </row>
    <row r="387" spans="2:4">
      <c r="B387" s="4" t="str">
        <f>"FOOT LOCKER INC COM USD0.01"</f>
        <v>FOOT LOCKER INC COM USD0.01</v>
      </c>
      <c r="C387" s="6">
        <v>965</v>
      </c>
      <c r="D387" s="6">
        <v>39603.620000000003</v>
      </c>
    </row>
    <row r="388" spans="2:4">
      <c r="B388" s="4" t="str">
        <f>"FORD MOTOR CO COM STK USD0.01"</f>
        <v>FORD MOTOR CO COM STK USD0.01</v>
      </c>
      <c r="C388" s="6">
        <v>65869</v>
      </c>
      <c r="D388" s="6">
        <v>660892.98</v>
      </c>
    </row>
    <row r="389" spans="2:4">
      <c r="B389" s="4" t="str">
        <f>"FORTESCUE METALS G NPV"</f>
        <v>FORTESCUE METALS G NPV</v>
      </c>
      <c r="C389" s="6">
        <v>3614</v>
      </c>
      <c r="D389" s="6">
        <v>47594.26</v>
      </c>
    </row>
    <row r="390" spans="2:4">
      <c r="B390" s="4" t="str">
        <f>"FORTIS INC COM NPV"</f>
        <v>FORTIS INC COM NPV</v>
      </c>
      <c r="C390" s="6">
        <v>2317</v>
      </c>
      <c r="D390" s="6">
        <v>75531.56</v>
      </c>
    </row>
    <row r="391" spans="2:4">
      <c r="B391" s="4" t="str">
        <f>"FORTIVE CORP COM USD0.01"</f>
        <v>FORTIVE CORP COM USD0.01</v>
      </c>
      <c r="C391" s="6">
        <v>417</v>
      </c>
      <c r="D391" s="6">
        <v>21792.51</v>
      </c>
    </row>
    <row r="392" spans="2:4">
      <c r="B392" s="4" t="str">
        <f>"FORTUM OYJ EUR3.40"</f>
        <v>FORTUM OYJ EUR3.40</v>
      </c>
      <c r="C392" s="6">
        <v>3094</v>
      </c>
      <c r="D392" s="6">
        <v>61325.87</v>
      </c>
    </row>
    <row r="393" spans="2:4">
      <c r="B393" s="4" t="str">
        <f>"FOX CORP COM USD0.01 CL A"</f>
        <v>FOX CORP COM USD0.01 CL A</v>
      </c>
      <c r="C393" s="6">
        <v>1635</v>
      </c>
      <c r="D393" s="6">
        <v>41934.839999999997</v>
      </c>
    </row>
    <row r="394" spans="2:4">
      <c r="B394" s="4" t="str">
        <f>"FOX CORP COM USD0.01 CL B"</f>
        <v>FOX CORP COM USD0.01 CL B</v>
      </c>
      <c r="C394" s="6">
        <v>866</v>
      </c>
      <c r="D394" s="6">
        <v>20704.02</v>
      </c>
    </row>
    <row r="395" spans="2:4">
      <c r="B395" s="4" t="str">
        <f>"FRANKLIN RES INC COM"</f>
        <v>FRANKLIN RES INC COM</v>
      </c>
      <c r="C395" s="6">
        <v>2245</v>
      </c>
      <c r="D395" s="6">
        <v>47714.42</v>
      </c>
    </row>
    <row r="396" spans="2:4">
      <c r="B396" s="4" t="str">
        <f>"FREEPORT-MCMORAN COM STK USD0.10"</f>
        <v>FREEPORT-MCMORAN COM STK USD0.10</v>
      </c>
      <c r="C396" s="6">
        <v>3308</v>
      </c>
      <c r="D396" s="6">
        <v>90801.36</v>
      </c>
    </row>
    <row r="397" spans="2:4">
      <c r="B397" s="4" t="str">
        <f>"FRESENIUS MED CARE NPV"</f>
        <v>FRESENIUS MED CARE NPV</v>
      </c>
      <c r="C397" s="6">
        <v>1096</v>
      </c>
      <c r="D397" s="6">
        <v>62198.61</v>
      </c>
    </row>
    <row r="398" spans="2:4">
      <c r="B398" s="4" t="str">
        <f>"FRESENIUS SE &amp; CO. KGAA NPV"</f>
        <v>FRESENIUS SE &amp; CO. KGAA NPV</v>
      </c>
      <c r="C398" s="6">
        <v>3131</v>
      </c>
      <c r="D398" s="6">
        <v>118350.51</v>
      </c>
    </row>
    <row r="399" spans="2:4">
      <c r="B399" s="4" t="str">
        <f>"FUJI FILM HLD CORP NPV"</f>
        <v>FUJI FILM HLD CORP NPV</v>
      </c>
      <c r="C399" s="6">
        <v>1600</v>
      </c>
      <c r="D399" s="6">
        <v>82112.36</v>
      </c>
    </row>
    <row r="400" spans="2:4">
      <c r="B400" s="4" t="str">
        <f>"FUJITSU NPV"</f>
        <v>FUJITSU NPV</v>
      </c>
      <c r="C400" s="6">
        <v>1000</v>
      </c>
      <c r="D400" s="6">
        <v>121665.17</v>
      </c>
    </row>
    <row r="401" spans="2:4">
      <c r="B401" s="4" t="str">
        <f>"GALLAGHER ARTHUR J &amp; CO COM"</f>
        <v>GALLAGHER ARTHUR J &amp; CO COM</v>
      </c>
      <c r="C401" s="6">
        <v>349</v>
      </c>
      <c r="D401" s="6">
        <v>34969.03</v>
      </c>
    </row>
    <row r="402" spans="2:4">
      <c r="B402" s="4" t="str">
        <f>"GALP ENERGIA EUR1-B"</f>
        <v>GALP ENERGIA EUR1-B</v>
      </c>
      <c r="C402" s="6">
        <v>3884</v>
      </c>
      <c r="D402" s="6">
        <v>27242.67</v>
      </c>
    </row>
    <row r="403" spans="2:4">
      <c r="B403" s="4" t="str">
        <f>"GAP INC DEL COM"</f>
        <v>GAP INC DEL COM</v>
      </c>
      <c r="C403" s="6">
        <v>1556</v>
      </c>
      <c r="D403" s="6">
        <v>32645.39</v>
      </c>
    </row>
    <row r="404" spans="2:4">
      <c r="B404" s="4" t="str">
        <f>"GARMIN LTD COM CHF10.00"</f>
        <v>GARMIN LTD COM CHF10.00</v>
      </c>
      <c r="C404" s="6">
        <v>133</v>
      </c>
      <c r="D404" s="6">
        <v>15037.65</v>
      </c>
    </row>
    <row r="405" spans="2:4">
      <c r="B405" s="4" t="str">
        <f>"GEBERIT CHF0.10(REGD)"</f>
        <v>GEBERIT CHF0.10(REGD)</v>
      </c>
      <c r="C405" s="6">
        <v>43</v>
      </c>
      <c r="D405" s="6">
        <v>25382.16</v>
      </c>
    </row>
    <row r="406" spans="2:4">
      <c r="B406" s="4" t="str">
        <f>"GECINA EUR7.50"</f>
        <v>GECINA EUR7.50</v>
      </c>
      <c r="C406" s="6">
        <v>113</v>
      </c>
      <c r="D406" s="6">
        <v>12899.83</v>
      </c>
    </row>
    <row r="407" spans="2:4">
      <c r="B407" s="4" t="str">
        <f>"GEN DYNAMICS CORP COM USD1"</f>
        <v>GEN DYNAMICS CORP COM USD1</v>
      </c>
      <c r="C407" s="6">
        <v>945</v>
      </c>
      <c r="D407" s="6">
        <v>133926.14000000001</v>
      </c>
    </row>
    <row r="408" spans="2:4">
      <c r="B408" s="4" t="str">
        <f>"GEN ELEC CO COM USD0.01(POST REV SPLIT)"</f>
        <v>GEN ELEC CO COM USD0.01(POST REV SPLIT)</v>
      </c>
      <c r="C408" s="6">
        <v>67447</v>
      </c>
      <c r="D408" s="6">
        <v>628214.94999999995</v>
      </c>
    </row>
    <row r="409" spans="2:4">
      <c r="B409" s="4" t="str">
        <f>"GENERAL MLS INC COM"</f>
        <v>GENERAL MLS INC COM</v>
      </c>
      <c r="C409" s="6">
        <v>2774</v>
      </c>
      <c r="D409" s="6">
        <v>118301.27</v>
      </c>
    </row>
    <row r="410" spans="2:4">
      <c r="B410" s="4" t="str">
        <f>"GENERAL MOTORS CO COM USD0.01"</f>
        <v>GENERAL MOTORS CO COM USD0.01</v>
      </c>
      <c r="C410" s="6">
        <v>13349</v>
      </c>
      <c r="D410" s="6">
        <v>545731.05000000005</v>
      </c>
    </row>
    <row r="411" spans="2:4">
      <c r="B411" s="4" t="str">
        <f>"GENUINE PARTS CO COM STK USD1"</f>
        <v>GENUINE PARTS CO COM STK USD1</v>
      </c>
      <c r="C411" s="6">
        <v>647</v>
      </c>
      <c r="D411" s="6">
        <v>59062.28</v>
      </c>
    </row>
    <row r="412" spans="2:4">
      <c r="B412" s="4" t="str">
        <f>"GILEAD SCIENCES COM USD0.001"</f>
        <v>GILEAD SCIENCES COM USD0.001</v>
      </c>
      <c r="C412" s="6">
        <v>6207</v>
      </c>
      <c r="D412" s="6">
        <v>304870.02</v>
      </c>
    </row>
    <row r="413" spans="2:4">
      <c r="B413" s="4" t="str">
        <f>"GIVAUDAN AG CHF10"</f>
        <v>GIVAUDAN AG CHF10</v>
      </c>
      <c r="C413" s="6">
        <v>15</v>
      </c>
      <c r="D413" s="6">
        <v>53830.16</v>
      </c>
    </row>
    <row r="414" spans="2:4">
      <c r="B414" s="4" t="str">
        <f>"GLAXOSMITHKLINE ORD GBP0.25"</f>
        <v>GLAXOSMITHKLINE ORD GBP0.25</v>
      </c>
      <c r="C414" s="6">
        <v>27606</v>
      </c>
      <c r="D414" s="6">
        <v>391397.87</v>
      </c>
    </row>
    <row r="415" spans="2:4">
      <c r="B415" s="4" t="s">
        <v>33</v>
      </c>
      <c r="C415" s="6">
        <v>150719</v>
      </c>
      <c r="D415" s="6">
        <v>2136893.98</v>
      </c>
    </row>
    <row r="416" spans="2:4">
      <c r="B416" s="4" t="str">
        <f>"GLENCORE XSTRATA ORD USD0.01"</f>
        <v>GLENCORE XSTRATA ORD USD0.01</v>
      </c>
      <c r="C416" s="6">
        <v>48280</v>
      </c>
      <c r="D416" s="6">
        <v>156209.94</v>
      </c>
    </row>
    <row r="417" spans="2:4">
      <c r="B417" s="4" t="str">
        <f>"GLOBAL PAYMENTS COM NPV"</f>
        <v>GLOBAL PAYMENTS COM NPV</v>
      </c>
      <c r="C417" s="6">
        <v>294</v>
      </c>
      <c r="D417" s="6">
        <v>40898</v>
      </c>
    </row>
    <row r="418" spans="2:4">
      <c r="B418" s="4" t="str">
        <f>"GLOBE LIFE INC COM USD1.00"</f>
        <v>GLOBE LIFE INC COM USD1.00</v>
      </c>
      <c r="C418" s="6">
        <v>304</v>
      </c>
      <c r="D418" s="6">
        <v>20358.5</v>
      </c>
    </row>
    <row r="419" spans="2:4">
      <c r="B419" s="4" t="str">
        <f>"GOLDMAN SACHS GRP COM USD0.01"</f>
        <v>GOLDMAN SACHS GRP COM USD0.01</v>
      </c>
      <c r="C419" s="6">
        <v>1666</v>
      </c>
      <c r="D419" s="6">
        <v>449203.5</v>
      </c>
    </row>
    <row r="420" spans="2:4">
      <c r="B420" s="4" t="str">
        <f>"GOODMAN GROUP (STAPLED SECURITY)"</f>
        <v>GOODMAN GROUP (STAPLED SECURITY)</v>
      </c>
      <c r="C420" s="6">
        <v>1847</v>
      </c>
      <c r="D420" s="6">
        <v>22253.79</v>
      </c>
    </row>
    <row r="421" spans="2:4">
      <c r="B421" s="4" t="str">
        <f>"GOODYEAR TIRE&amp;RUBR COM NPV"</f>
        <v>GOODYEAR TIRE&amp;RUBR COM NPV</v>
      </c>
      <c r="C421" s="6">
        <v>753</v>
      </c>
      <c r="D421" s="6">
        <v>8508.3799999999992</v>
      </c>
    </row>
    <row r="422" spans="2:4">
      <c r="B422" s="4" t="str">
        <f>"GRAINGER W W INC COM"</f>
        <v>GRAINGER W W INC COM</v>
      </c>
      <c r="C422" s="6">
        <v>157</v>
      </c>
      <c r="D422" s="6">
        <v>50202.51</v>
      </c>
    </row>
    <row r="423" spans="2:4">
      <c r="B423" s="4" t="str">
        <f>"GREAT WEST LIFECO INC COM"</f>
        <v>GREAT WEST LIFECO INC COM</v>
      </c>
      <c r="C423" s="6">
        <v>2020</v>
      </c>
      <c r="D423" s="6">
        <v>43690.31</v>
      </c>
    </row>
    <row r="424" spans="2:4">
      <c r="B424" s="4" t="str">
        <f>"HALLIBURTON COM STK USD2.50"</f>
        <v>HALLIBURTON COM STK USD2.50</v>
      </c>
      <c r="C424" s="6">
        <v>5776</v>
      </c>
      <c r="D424" s="6">
        <v>85911.95</v>
      </c>
    </row>
    <row r="425" spans="2:4">
      <c r="B425" s="4" t="str">
        <f>"HANA FINANCIAL GRP KRW5000"</f>
        <v>HANA FINANCIAL GRP KRW5000</v>
      </c>
      <c r="C425" s="6">
        <v>2204</v>
      </c>
      <c r="D425" s="6">
        <v>60417.920000000006</v>
      </c>
    </row>
    <row r="426" spans="2:4">
      <c r="B426" s="4" t="str">
        <f>"HANESBRANDS INC COM"</f>
        <v>HANESBRANDS INC COM</v>
      </c>
      <c r="C426" s="6">
        <v>889</v>
      </c>
      <c r="D426" s="6">
        <v>11675.58</v>
      </c>
    </row>
    <row r="427" spans="2:4">
      <c r="B427" s="4" t="str">
        <f>"HANG SENG BANK HKD5"</f>
        <v>HANG SENG BANK HKD5</v>
      </c>
      <c r="C427" s="6">
        <v>3000</v>
      </c>
      <c r="D427" s="6">
        <v>41398.699999999997</v>
      </c>
    </row>
    <row r="428" spans="2:4">
      <c r="B428" s="4" t="str">
        <f>"HANNOVER RUECKVERS ORD NPV(REGD)"</f>
        <v>HANNOVER RUECKVERS ORD NPV(REGD)</v>
      </c>
      <c r="C428" s="6">
        <v>374</v>
      </c>
      <c r="D428" s="6">
        <v>45262.79</v>
      </c>
    </row>
    <row r="429" spans="2:4">
      <c r="B429" s="4" t="str">
        <f>"HARLEY DAVIDSON INC COM"</f>
        <v>HARLEY DAVIDSON INC COM</v>
      </c>
      <c r="C429" s="6">
        <v>1297</v>
      </c>
      <c r="D429" s="6">
        <v>36959.86</v>
      </c>
    </row>
    <row r="430" spans="2:4">
      <c r="B430" s="4" t="str">
        <f>"HARTFORD FINL SVCS COM USD0.01"</f>
        <v>HARTFORD FINL SVCS COM USD0.01</v>
      </c>
      <c r="C430" s="6">
        <v>2325</v>
      </c>
      <c r="D430" s="6">
        <v>106387.96</v>
      </c>
    </row>
    <row r="431" spans="2:4">
      <c r="B431" s="4" t="str">
        <f>"HASBRO INC COM"</f>
        <v>HASBRO INC COM</v>
      </c>
      <c r="C431" s="6">
        <v>168</v>
      </c>
      <c r="D431" s="6">
        <v>12085.460000000001</v>
      </c>
    </row>
    <row r="432" spans="2:4">
      <c r="B432" s="4" t="str">
        <f>"HCA HEALTHCARE INC COM USD0.01"</f>
        <v>HCA HEALTHCARE INC COM USD0.01</v>
      </c>
      <c r="C432" s="6">
        <v>983</v>
      </c>
      <c r="D432" s="6">
        <v>175481.43</v>
      </c>
    </row>
    <row r="433" spans="2:4">
      <c r="B433" s="4" t="str">
        <f>"HEALTHPEAK PPTYS I COM USD1"</f>
        <v>HEALTHPEAK PPTYS I COM USD1</v>
      </c>
      <c r="C433" s="6">
        <v>2325</v>
      </c>
      <c r="D433" s="6">
        <v>61822.74</v>
      </c>
    </row>
    <row r="434" spans="2:4">
      <c r="B434" s="4" t="str">
        <f>"HEIDELBERGCEMENT NPV"</f>
        <v>HEIDELBERGCEMENT NPV</v>
      </c>
      <c r="C434" s="6">
        <v>1229</v>
      </c>
      <c r="D434" s="6">
        <v>78383.5</v>
      </c>
    </row>
    <row r="435" spans="2:4">
      <c r="B435" s="4" t="str">
        <f>"HEINEKEN HOLDING EUR1.6"</f>
        <v>HEINEKEN HOLDING EUR1.6</v>
      </c>
      <c r="C435" s="6">
        <v>505</v>
      </c>
      <c r="D435" s="6">
        <v>35726.879999999997</v>
      </c>
    </row>
    <row r="436" spans="2:4">
      <c r="B436" s="4" t="str">
        <f>"HEINEKEN NV EUR1.60"</f>
        <v>HEINEKEN NV EUR1.60</v>
      </c>
      <c r="C436" s="6">
        <v>696</v>
      </c>
      <c r="D436" s="6">
        <v>58291.88</v>
      </c>
    </row>
    <row r="437" spans="2:4">
      <c r="B437" s="4" t="str">
        <f>"HELMERICH &amp; PAYNE COM USD0.10"</f>
        <v>HELMERICH &amp; PAYNE COM USD0.10</v>
      </c>
      <c r="C437" s="6">
        <v>1686</v>
      </c>
      <c r="D437" s="6">
        <v>34766.51</v>
      </c>
    </row>
    <row r="438" spans="2:4">
      <c r="B438" s="4" t="str">
        <f>"HENDERSON LAND DEV HKD2"</f>
        <v>HENDERSON LAND DEV HKD2</v>
      </c>
      <c r="C438" s="6">
        <v>4840</v>
      </c>
      <c r="D438" s="6">
        <v>15566.39</v>
      </c>
    </row>
    <row r="439" spans="2:4">
      <c r="B439" s="4" t="str">
        <f>"HENKEL AG &amp; CO KGAA"</f>
        <v>HENKEL AG &amp; CO KGAA</v>
      </c>
      <c r="C439" s="6">
        <v>391</v>
      </c>
      <c r="D439" s="6">
        <v>25560.9</v>
      </c>
    </row>
    <row r="440" spans="2:4">
      <c r="B440" s="4" t="str">
        <f>"HENKEL AG&amp;CO. KGAA NON-VTG PRF NPV"</f>
        <v>HENKEL AG&amp;CO. KGAA NON-VTG PRF NPV</v>
      </c>
      <c r="C440" s="6">
        <v>823</v>
      </c>
      <c r="D440" s="6">
        <v>60000.06</v>
      </c>
    </row>
    <row r="441" spans="2:4">
      <c r="B441" s="4" t="str">
        <f>"HENNES &amp; MAURITZ SER'B'NPV"</f>
        <v>HENNES &amp; MAURITZ SER'B'NPV</v>
      </c>
      <c r="C441" s="6">
        <v>5657</v>
      </c>
      <c r="D441" s="6">
        <v>85176.25</v>
      </c>
    </row>
    <row r="442" spans="2:4">
      <c r="B442" s="4" t="str">
        <f>"HERSHEY COMPANY COM USD1.00"</f>
        <v>HERSHEY COMPANY COM USD1.00</v>
      </c>
      <c r="C442" s="6">
        <v>399</v>
      </c>
      <c r="D442" s="6">
        <v>51334.64</v>
      </c>
    </row>
    <row r="443" spans="2:4">
      <c r="B443" s="4" t="str">
        <f>"HESS CORPORATION COM USD1"</f>
        <v>HESS CORPORATION COM USD1</v>
      </c>
      <c r="C443" s="6">
        <v>805</v>
      </c>
      <c r="D443" s="6">
        <v>44258.06</v>
      </c>
    </row>
    <row r="444" spans="2:4">
      <c r="B444" s="4" t="str">
        <f>"HEWLETT PACKARD EN COM USD0.01"</f>
        <v>HEWLETT PACKARD EN COM USD0.01</v>
      </c>
      <c r="C444" s="6">
        <v>13803</v>
      </c>
      <c r="D444" s="6">
        <v>143951.88</v>
      </c>
    </row>
    <row r="445" spans="2:4">
      <c r="B445" s="4" t="str">
        <f>"HILTON WORLDWIDE H COM USD0.01"</f>
        <v>HILTON WORLDWIDE H COM USD0.01</v>
      </c>
      <c r="C445" s="6">
        <v>126</v>
      </c>
      <c r="D445" s="6">
        <v>11912.61</v>
      </c>
    </row>
    <row r="446" spans="2:4">
      <c r="B446" s="4" t="str">
        <f>"HITACHI NPV"</f>
        <v>HITACHI NPV</v>
      </c>
      <c r="C446" s="6">
        <v>5100</v>
      </c>
      <c r="D446" s="6">
        <v>209159.24</v>
      </c>
    </row>
    <row r="447" spans="2:4">
      <c r="B447" s="4" t="str">
        <f>"HOLCIM LTD CHF2 (REGD)"</f>
        <v>HOLCIM LTD CHF2 (REGD)</v>
      </c>
      <c r="C447" s="6">
        <v>2811</v>
      </c>
      <c r="D447" s="6">
        <v>118456.6</v>
      </c>
    </row>
    <row r="448" spans="2:4">
      <c r="B448" s="4" t="str">
        <f>"HOLLYFRONTIER CORP COM USD0.01"</f>
        <v>HOLLYFRONTIER CORP COM USD0.01</v>
      </c>
      <c r="C448" s="6">
        <v>1280</v>
      </c>
      <c r="D448" s="6">
        <v>27066.57</v>
      </c>
    </row>
    <row r="449" spans="2:4">
      <c r="B449" s="4" t="str">
        <f>"HOME DEPOT INC COM USD0.05"</f>
        <v>HOME DEPOT INC COM USD0.05</v>
      </c>
      <c r="C449" s="6">
        <v>2018</v>
      </c>
      <c r="D449" s="6">
        <v>476345.83</v>
      </c>
    </row>
    <row r="450" spans="2:4">
      <c r="B450" s="4" t="str">
        <f>"HONDA MOTOR CO NPV"</f>
        <v>HONDA MOTOR CO NPV</v>
      </c>
      <c r="C450" s="6">
        <v>6900</v>
      </c>
      <c r="D450" s="6">
        <v>157949.76999999999</v>
      </c>
    </row>
    <row r="451" spans="2:4">
      <c r="B451" s="4" t="str">
        <f>"HONEYWELL INTL INC COM USD1"</f>
        <v>HONEYWELL INTL INC COM USD1</v>
      </c>
      <c r="C451" s="6">
        <v>1469</v>
      </c>
      <c r="D451" s="6">
        <v>247036.28</v>
      </c>
    </row>
    <row r="452" spans="2:4">
      <c r="B452" s="4" t="str">
        <f>"HONG KONG EXCHANGE HKD1"</f>
        <v>HONG KONG EXCHANGE HKD1</v>
      </c>
      <c r="C452" s="6">
        <v>1028</v>
      </c>
      <c r="D452" s="6">
        <v>47191.37</v>
      </c>
    </row>
    <row r="453" spans="2:4">
      <c r="B453" s="4" t="str">
        <f>"HONGKONG&amp;CHINA GAS HKD0.25"</f>
        <v>HONGKONG&amp;CHINA GAS HKD0.25</v>
      </c>
      <c r="C453" s="6">
        <v>14673</v>
      </c>
      <c r="D453" s="6">
        <v>17192.55</v>
      </c>
    </row>
    <row r="454" spans="2:4">
      <c r="B454" s="4" t="str">
        <f>"HORMEL FOODS CORP COM USD0.0586"</f>
        <v>HORMEL FOODS CORP COM USD0.0586</v>
      </c>
      <c r="C454" s="6">
        <v>539</v>
      </c>
      <c r="D454" s="6">
        <v>18060.980000000003</v>
      </c>
    </row>
    <row r="455" spans="2:4">
      <c r="B455" s="4" t="str">
        <f>"HOST HOTELS &amp; RESO COM STK USD0.01"</f>
        <v>HOST HOTELS &amp; RESO COM STK USD0.01</v>
      </c>
      <c r="C455" s="6">
        <v>5321</v>
      </c>
      <c r="D455" s="6">
        <v>60965.61</v>
      </c>
    </row>
    <row r="456" spans="2:4">
      <c r="B456" s="4" t="str">
        <f>"HOWMET AEROSPACE I COM USD1.00"</f>
        <v>HOWMET AEROSPACE I COM USD1.00</v>
      </c>
      <c r="C456" s="6">
        <v>1958</v>
      </c>
      <c r="D456" s="6">
        <v>46219.7</v>
      </c>
    </row>
    <row r="457" spans="2:4">
      <c r="B457" s="4" t="str">
        <f>"HOYA CORP NPV"</f>
        <v>HOYA CORP NPV</v>
      </c>
      <c r="C457" s="6">
        <v>400</v>
      </c>
      <c r="D457" s="6">
        <v>40382.480000000003</v>
      </c>
    </row>
    <row r="458" spans="2:4">
      <c r="B458" s="4" t="str">
        <f>"HP INC COM USD0.01"</f>
        <v>HP INC COM USD0.01</v>
      </c>
      <c r="C458" s="6">
        <v>7084</v>
      </c>
      <c r="D458" s="6">
        <v>147096.10999999999</v>
      </c>
    </row>
    <row r="459" spans="2:4">
      <c r="B459" s="4" t="s">
        <v>21</v>
      </c>
      <c r="C459" s="6">
        <v>17441</v>
      </c>
      <c r="D459" s="6">
        <v>362154.62</v>
      </c>
    </row>
    <row r="460" spans="2:4">
      <c r="B460" s="4" t="str">
        <f>"HSBC HLDGS ORD USD0.50(UK REG)"</f>
        <v>HSBC HLDGS ORD USD0.50(UK REG)</v>
      </c>
      <c r="C460" s="6">
        <v>140132</v>
      </c>
      <c r="D460" s="6">
        <v>556954.63</v>
      </c>
    </row>
    <row r="461" spans="2:4">
      <c r="B461" s="4" t="s">
        <v>38</v>
      </c>
      <c r="C461" s="6">
        <v>402282</v>
      </c>
      <c r="D461" s="6">
        <v>1598869.81</v>
      </c>
    </row>
    <row r="462" spans="2:4">
      <c r="B462" s="4" t="str">
        <f>"HUMANA INC COM USD0.166"</f>
        <v>HUMANA INC COM USD0.166</v>
      </c>
      <c r="C462" s="6">
        <v>451</v>
      </c>
      <c r="D462" s="6">
        <v>138139.94</v>
      </c>
    </row>
    <row r="463" spans="2:4">
      <c r="B463" s="4" t="str">
        <f>"HUNTINGTON BANCSHARES INC COM"</f>
        <v>HUNTINGTON BANCSHARES INC COM</v>
      </c>
      <c r="C463" s="6">
        <v>5009</v>
      </c>
      <c r="D463" s="6">
        <v>50725.87</v>
      </c>
    </row>
    <row r="464" spans="2:4">
      <c r="B464" s="4" t="str">
        <f>"HUNTINGTON INGALLS COM USD0.01"</f>
        <v>HUNTINGTON INGALLS COM USD0.01</v>
      </c>
      <c r="C464" s="6">
        <v>82</v>
      </c>
      <c r="D464" s="6">
        <v>12098.15</v>
      </c>
    </row>
    <row r="465" spans="2:4">
      <c r="B465" s="4" t="str">
        <f>"HUNTSMAN CORP COM USD0.01"</f>
        <v>HUNTSMAN CORP COM USD0.01</v>
      </c>
      <c r="C465" s="6">
        <v>1859</v>
      </c>
      <c r="D465" s="6">
        <v>35312.11</v>
      </c>
    </row>
    <row r="466" spans="2:4">
      <c r="B466" s="4" t="str">
        <f>"HYDRO ONE INC COM NPV"</f>
        <v>HYDRO ONE INC COM NPV</v>
      </c>
      <c r="C466" s="6">
        <v>686</v>
      </c>
      <c r="D466" s="6">
        <v>12173.47</v>
      </c>
    </row>
    <row r="467" spans="2:4">
      <c r="B467" s="4" t="str">
        <f>"HYUNDAI ENG &amp; CONS KRW5000"</f>
        <v>HYUNDAI ENG &amp; CONS KRW5000</v>
      </c>
      <c r="C467" s="6">
        <v>349</v>
      </c>
      <c r="D467" s="6">
        <v>11937.03</v>
      </c>
    </row>
    <row r="468" spans="2:4">
      <c r="B468" s="4" t="str">
        <f>"HYUNDAI MOBIS KRW5000"</f>
        <v>HYUNDAI MOBIS KRW5000</v>
      </c>
      <c r="C468" s="6">
        <v>503</v>
      </c>
      <c r="D468" s="6">
        <v>84065.55</v>
      </c>
    </row>
    <row r="469" spans="2:4">
      <c r="B469" s="4" t="str">
        <f>"HYUNDAI MOTOR CO 2ND PRF KRW5000"</f>
        <v>HYUNDAI MOTOR CO 2ND PRF KRW5000</v>
      </c>
      <c r="C469" s="6">
        <v>340</v>
      </c>
      <c r="D469" s="6">
        <v>22110.36</v>
      </c>
    </row>
    <row r="470" spans="2:4">
      <c r="B470" s="4" t="str">
        <f>"HYUNDAI MOTOR CO KRW5000"</f>
        <v>HYUNDAI MOTOR CO KRW5000</v>
      </c>
      <c r="C470" s="6">
        <v>1311</v>
      </c>
      <c r="D470" s="6">
        <v>179346.92</v>
      </c>
    </row>
    <row r="471" spans="2:4">
      <c r="B471" s="4" t="str">
        <f>"HYUNDAI MOTOR CO PRF KRW5000"</f>
        <v>HYUNDAI MOTOR CO PRF KRW5000</v>
      </c>
      <c r="C471" s="6">
        <v>210</v>
      </c>
      <c r="D471" s="6">
        <v>14021.44</v>
      </c>
    </row>
    <row r="472" spans="2:4">
      <c r="B472" s="4" t="str">
        <f>"HYUNDAI STEEL KRW5000"</f>
        <v>HYUNDAI STEEL KRW5000</v>
      </c>
      <c r="C472" s="6">
        <v>398</v>
      </c>
      <c r="D472" s="6">
        <v>13438.8</v>
      </c>
    </row>
    <row r="473" spans="2:4">
      <c r="B473" s="4" t="str">
        <f>"IBERDROLA SA EUR0.75 (POST SUBDIVISION)"</f>
        <v>IBERDROLA SA EUR0.75 (POST SUBDIVISION)</v>
      </c>
      <c r="C473" s="6">
        <v>26804</v>
      </c>
      <c r="D473" s="6">
        <v>232263.32</v>
      </c>
    </row>
    <row r="474" spans="2:4">
      <c r="B474" s="4" t="str">
        <f>"IDEMITSU KOSAN CO LTD"</f>
        <v>IDEMITSU KOSAN CO LTD</v>
      </c>
      <c r="C474" s="6">
        <v>1400</v>
      </c>
      <c r="D474" s="6">
        <v>23616.09</v>
      </c>
    </row>
    <row r="475" spans="2:4">
      <c r="B475" s="4" t="str">
        <f>"IHI CORP NPV"</f>
        <v>IHI CORP NPV</v>
      </c>
      <c r="C475" s="6">
        <v>2000</v>
      </c>
      <c r="D475" s="6">
        <v>32977.06</v>
      </c>
    </row>
    <row r="476" spans="2:4">
      <c r="B476" s="4" t="str">
        <f>"IHS MARKIT LTD COM"</f>
        <v>IHS MARKIT LTD COM</v>
      </c>
      <c r="C476" s="6">
        <v>378</v>
      </c>
      <c r="D476" s="6">
        <v>31820.129999999997</v>
      </c>
    </row>
    <row r="477" spans="2:4">
      <c r="B477" s="4" t="str">
        <f>"ILLINOIS TOOL WKS COM NPV"</f>
        <v>ILLINOIS TOOL WKS COM NPV</v>
      </c>
      <c r="C477" s="6">
        <v>634</v>
      </c>
      <c r="D477" s="6">
        <v>103361.59</v>
      </c>
    </row>
    <row r="478" spans="2:4">
      <c r="B478" s="4" t="str">
        <f>"ILLUMINA INC COM USD0.01"</f>
        <v>ILLUMINA INC COM USD0.01</v>
      </c>
      <c r="C478" s="6">
        <v>56</v>
      </c>
      <c r="D478" s="6">
        <v>19967.63</v>
      </c>
    </row>
    <row r="479" spans="2:4">
      <c r="B479" s="4" t="str">
        <f>"IMPERIAL OIL LTD COM NEW"</f>
        <v>IMPERIAL OIL LTD COM NEW</v>
      </c>
      <c r="C479" s="6">
        <v>940</v>
      </c>
      <c r="D479" s="6">
        <v>18511.41</v>
      </c>
    </row>
    <row r="480" spans="2:4">
      <c r="B480" s="4" t="str">
        <f>"INDITEX EUR0.03 (POST SUBD)"</f>
        <v>INDITEX EUR0.03 (POST SUBD)</v>
      </c>
      <c r="C480" s="6">
        <v>2230</v>
      </c>
      <c r="D480" s="6">
        <v>54375.88</v>
      </c>
    </row>
    <row r="481" spans="2:4">
      <c r="B481" s="4" t="str">
        <f>"INFINEON TECHNOLOG AG NPV (REGD)"</f>
        <v>INFINEON TECHNOLOG AG NPV (REGD)</v>
      </c>
      <c r="C481" s="6">
        <v>2330</v>
      </c>
      <c r="D481" s="6">
        <v>63858.91</v>
      </c>
    </row>
    <row r="482" spans="2:4">
      <c r="B482" s="4" t="str">
        <f>"INFORMA PLC (GB) ORD GBP0.001"</f>
        <v>INFORMA PLC (GB) ORD GBP0.001</v>
      </c>
      <c r="C482" s="6">
        <v>4340</v>
      </c>
      <c r="D482" s="6">
        <v>21483</v>
      </c>
    </row>
    <row r="483" spans="2:4">
      <c r="B483" s="4" t="str">
        <f>"ING GROEP N.V. EUR0.01"</f>
        <v>ING GROEP N.V. EUR0.01</v>
      </c>
      <c r="C483" s="6">
        <v>42490</v>
      </c>
      <c r="D483" s="6">
        <v>393046.23</v>
      </c>
    </row>
    <row r="484" spans="2:4">
      <c r="B484" s="4" t="str">
        <f>"INPEX CORPORATION NPV"</f>
        <v>INPEX CORPORATION NPV</v>
      </c>
      <c r="C484" s="6">
        <v>5300</v>
      </c>
      <c r="D484" s="6">
        <v>27403.710000000003</v>
      </c>
    </row>
    <row r="485" spans="2:4">
      <c r="B485" s="4" t="str">
        <f>"INSURANCE AUST GRP NPV"</f>
        <v>INSURANCE AUST GRP NPV</v>
      </c>
      <c r="C485" s="6">
        <v>13465</v>
      </c>
      <c r="D485" s="6">
        <v>34525.57</v>
      </c>
    </row>
    <row r="486" spans="2:4">
      <c r="B486" s="4" t="str">
        <f>"INTACT FINL CORP COM NPV"</f>
        <v>INTACT FINL CORP COM NPV</v>
      </c>
      <c r="C486" s="6">
        <v>478</v>
      </c>
      <c r="D486" s="6">
        <v>46818.37</v>
      </c>
    </row>
    <row r="487" spans="2:4">
      <c r="B487" s="4" t="str">
        <f>"INTEL CORP COM USD0.001"</f>
        <v>INTEL CORP COM USD0.001</v>
      </c>
      <c r="C487" s="6">
        <v>16209</v>
      </c>
      <c r="D487" s="6">
        <v>626279.34</v>
      </c>
    </row>
    <row r="488" spans="2:4">
      <c r="B488" s="4" t="s">
        <v>22</v>
      </c>
      <c r="C488" s="6">
        <v>39391</v>
      </c>
      <c r="D488" s="6">
        <v>1521979.73</v>
      </c>
    </row>
    <row r="489" spans="2:4">
      <c r="B489" s="4" t="str">
        <f>"INTER PIPELINE LTD COM NPV"</f>
        <v>INTER PIPELINE LTD COM NPV</v>
      </c>
      <c r="C489" s="6">
        <v>3399</v>
      </c>
      <c r="D489" s="6">
        <v>39186.61</v>
      </c>
    </row>
    <row r="490" spans="2:4">
      <c r="B490" s="4" t="str">
        <f>"INTERCONTINENTAL E COM USD0.01"</f>
        <v>INTERCONTINENTAL E COM USD0.01</v>
      </c>
      <c r="C490" s="6">
        <v>894</v>
      </c>
      <c r="D490" s="6">
        <v>77051.12</v>
      </c>
    </row>
    <row r="491" spans="2:4">
      <c r="B491" s="4" t="str">
        <f>"INTERCONTL HOTELS ORD GBP0.208521303"</f>
        <v>INTERCONTL HOTELS ORD GBP0.208521303</v>
      </c>
      <c r="C491" s="6">
        <v>583</v>
      </c>
      <c r="D491" s="6">
        <v>27698.33</v>
      </c>
    </row>
    <row r="492" spans="2:4">
      <c r="B492" s="4" t="str">
        <f>"INTERNATIONAL FLAVORS&amp;FRAGRANC COM"</f>
        <v>INTERNATIONAL FLAVORS&amp;FRAGRANC COM</v>
      </c>
      <c r="C492" s="6">
        <v>292</v>
      </c>
      <c r="D492" s="6">
        <v>31637.27</v>
      </c>
    </row>
    <row r="493" spans="2:4">
      <c r="B493" s="4" t="str">
        <f>"INTERPUBLIC GROUP COM USD0.10"</f>
        <v>INTERPUBLIC GROUP COM USD0.10</v>
      </c>
      <c r="C493" s="6">
        <v>1626</v>
      </c>
      <c r="D493" s="6">
        <v>41353.160000000003</v>
      </c>
    </row>
    <row r="494" spans="2:4">
      <c r="B494" s="4" t="str">
        <f>"INTESA SANPAOLO NPV"</f>
        <v>INTESA SANPAOLO NPV</v>
      </c>
      <c r="C494" s="6">
        <v>163031</v>
      </c>
      <c r="D494" s="6">
        <v>324185</v>
      </c>
    </row>
    <row r="495" spans="2:4">
      <c r="B495" s="4" t="str">
        <f>"INTL BUSINESS MCHN COM USD0.20"</f>
        <v>INTL BUSINESS MCHN COM USD0.20</v>
      </c>
      <c r="C495" s="6">
        <v>5342</v>
      </c>
      <c r="D495" s="6">
        <v>541596.23</v>
      </c>
    </row>
    <row r="496" spans="2:4">
      <c r="B496" s="4" t="str">
        <f>"INTL CONS AIRLINE ORD EUR0.10 (CDI)"</f>
        <v>INTL CONS AIRLINE ORD EUR0.10 (CDI)</v>
      </c>
      <c r="C496" s="6">
        <v>14242</v>
      </c>
      <c r="D496" s="6">
        <v>23940.799999999999</v>
      </c>
    </row>
    <row r="497" spans="2:4">
      <c r="B497" s="4" t="str">
        <f>"INTL PAPER CO COM USD1.00"</f>
        <v>INTL PAPER CO COM USD1.00</v>
      </c>
      <c r="C497" s="6">
        <v>2677</v>
      </c>
      <c r="D497" s="6">
        <v>111211.94</v>
      </c>
    </row>
    <row r="498" spans="2:4">
      <c r="B498" s="4" t="str">
        <f>"INTUIT INC COM USD0.01"</f>
        <v>INTUIT INC COM USD0.01</v>
      </c>
      <c r="C498" s="6">
        <v>148</v>
      </c>
      <c r="D498" s="6">
        <v>56414.26</v>
      </c>
    </row>
    <row r="499" spans="2:4">
      <c r="B499" s="4" t="str">
        <f>"INTUITIVE SURGICAL COM USD0.001"</f>
        <v>INTUITIVE SURGICAL COM USD0.001</v>
      </c>
      <c r="C499" s="6">
        <v>55</v>
      </c>
      <c r="D499" s="6">
        <v>39220.559999999998</v>
      </c>
    </row>
    <row r="500" spans="2:4">
      <c r="B500" s="4" t="str">
        <f>"INVESCO LTD COM STK USD0.20"</f>
        <v>INVESCO LTD COM STK USD0.20</v>
      </c>
      <c r="C500" s="6">
        <v>3737</v>
      </c>
      <c r="D500" s="6">
        <v>65528.87</v>
      </c>
    </row>
    <row r="501" spans="2:4">
      <c r="B501" s="4" t="str">
        <f>"INVESTOR AB SER'B'NPV (POST SPLIT)"</f>
        <v>INVESTOR AB SER'B'NPV (POST SPLIT)</v>
      </c>
      <c r="C501" s="6">
        <v>2360</v>
      </c>
      <c r="D501" s="6">
        <v>42079.76</v>
      </c>
    </row>
    <row r="502" spans="2:4">
      <c r="B502" s="4" t="str">
        <f>"INVITATION HOMES I COM USD0.01"</f>
        <v>INVITATION HOMES I COM USD0.01</v>
      </c>
      <c r="C502" s="6">
        <v>699</v>
      </c>
      <c r="D502" s="6">
        <v>20451.91</v>
      </c>
    </row>
    <row r="503" spans="2:4">
      <c r="B503" s="4" t="str">
        <f>"IQVIA HOLDINGS INC COM USD0.01"</f>
        <v>IQVIA HOLDINGS INC COM USD0.01</v>
      </c>
      <c r="C503" s="6">
        <v>304</v>
      </c>
      <c r="D503" s="6">
        <v>54159.6</v>
      </c>
    </row>
    <row r="504" spans="2:4">
      <c r="B504" s="4" t="str">
        <f>"IRON MTN INC NEW COM NPV"</f>
        <v>IRON MTN INC NEW COM NPV</v>
      </c>
      <c r="C504" s="6">
        <v>1465</v>
      </c>
      <c r="D504" s="6">
        <v>46109.54</v>
      </c>
    </row>
    <row r="505" spans="2:4">
      <c r="B505" s="4" t="str">
        <f>"ISS A/S DKK1"</f>
        <v>ISS A/S DKK1</v>
      </c>
      <c r="C505" s="6">
        <v>2663</v>
      </c>
      <c r="D505" s="6">
        <v>45189.8</v>
      </c>
    </row>
    <row r="506" spans="2:4">
      <c r="B506" s="4" t="str">
        <f>"ISUZU MOTORS NPV"</f>
        <v>ISUZU MOTORS NPV</v>
      </c>
      <c r="C506" s="6">
        <v>2700</v>
      </c>
      <c r="D506" s="6">
        <v>25656.84</v>
      </c>
    </row>
    <row r="507" spans="2:4">
      <c r="B507" s="4" t="str">
        <f>"ITOCHU CORP NPV"</f>
        <v>ITOCHU CORP NPV</v>
      </c>
      <c r="C507" s="6">
        <v>6500</v>
      </c>
      <c r="D507" s="6">
        <v>137675.29999999999</v>
      </c>
    </row>
    <row r="508" spans="2:4">
      <c r="B508" s="4" t="str">
        <f>"ITV ORD GBP0.10"</f>
        <v>ITV ORD GBP0.10</v>
      </c>
      <c r="C508" s="6">
        <v>39631</v>
      </c>
      <c r="D508" s="6">
        <v>44465.98</v>
      </c>
    </row>
    <row r="509" spans="2:4">
      <c r="B509" s="4" t="s">
        <v>29</v>
      </c>
      <c r="C509" s="6">
        <v>1172892</v>
      </c>
      <c r="D509" s="6">
        <v>1315984.82</v>
      </c>
    </row>
    <row r="510" spans="2:4">
      <c r="B510" s="4" t="str">
        <f>"JABIL INC COM USD0.001"</f>
        <v>JABIL INC COM USD0.001</v>
      </c>
      <c r="C510" s="6">
        <v>1379</v>
      </c>
      <c r="D510" s="6">
        <v>59053.95</v>
      </c>
    </row>
    <row r="511" spans="2:4">
      <c r="B511" s="4" t="str">
        <f>"JACOBS ENG GROUP COM USD1"</f>
        <v>JACOBS ENG GROUP COM USD1</v>
      </c>
      <c r="C511" s="6">
        <v>567</v>
      </c>
      <c r="D511" s="6">
        <v>55229.23</v>
      </c>
    </row>
    <row r="512" spans="2:4">
      <c r="B512" s="4" t="str">
        <f>"JAPAN POST HOLD CO NPV"</f>
        <v>JAPAN POST HOLD CO NPV</v>
      </c>
      <c r="C512" s="6">
        <v>10500</v>
      </c>
      <c r="D512" s="6">
        <v>63932.71</v>
      </c>
    </row>
    <row r="513" spans="2:4">
      <c r="B513" s="4" t="str">
        <f>"JAPAN POST INSURAN NPV"</f>
        <v>JAPAN POST INSURAN NPV</v>
      </c>
      <c r="C513" s="6">
        <v>2800</v>
      </c>
      <c r="D513" s="6">
        <v>35561.75</v>
      </c>
    </row>
    <row r="514" spans="2:4">
      <c r="B514" s="4" t="str">
        <f>"JEFFERIES FINL GRP COM USD0.0001"</f>
        <v>JEFFERIES FINL GRP COM USD0.0001</v>
      </c>
      <c r="C514" s="6">
        <v>2111</v>
      </c>
      <c r="D514" s="6">
        <v>50393.13</v>
      </c>
    </row>
    <row r="515" spans="2:4">
      <c r="B515" s="4" t="str">
        <f>"JFE HOLDINGS INC NPV"</f>
        <v>JFE HOLDINGS INC NPV</v>
      </c>
      <c r="C515" s="6">
        <v>5400</v>
      </c>
      <c r="D515" s="6">
        <v>46925.47</v>
      </c>
    </row>
    <row r="516" spans="2:4">
      <c r="B516" s="4" t="str">
        <f>"JOHNSON &amp; JOHNSON COM USD1"</f>
        <v>JOHNSON &amp; JOHNSON COM USD1</v>
      </c>
      <c r="C516" s="6">
        <v>6982</v>
      </c>
      <c r="D516" s="6">
        <v>864746.57</v>
      </c>
    </row>
    <row r="517" spans="2:4">
      <c r="B517" s="4" t="str">
        <f>"JOHNSON CTLS INTL COM USD0.01"</f>
        <v>JOHNSON CTLS INTL COM USD0.01</v>
      </c>
      <c r="C517" s="6">
        <v>3368</v>
      </c>
      <c r="D517" s="6">
        <v>173008.64000000001</v>
      </c>
    </row>
    <row r="518" spans="2:4">
      <c r="B518" s="4" t="str">
        <f>"JOHNSON MATTHEY ORD GBP1.109245"</f>
        <v>JOHNSON MATTHEY ORD GBP1.109245</v>
      </c>
      <c r="C518" s="6">
        <v>1491</v>
      </c>
      <c r="D518" s="6">
        <v>45058.02</v>
      </c>
    </row>
    <row r="519" spans="2:4">
      <c r="B519" s="4" t="str">
        <f>"JONES LANG LASALLE INC COM"</f>
        <v>JONES LANG LASALLE INC COM</v>
      </c>
      <c r="C519" s="6">
        <v>89</v>
      </c>
      <c r="D519" s="6">
        <v>14247.3</v>
      </c>
    </row>
    <row r="520" spans="2:4">
      <c r="B520" s="4" t="str">
        <f>"JP MORGAN CHASE &amp; COM USD1"</f>
        <v>JP MORGAN CHASE &amp; COM USD1</v>
      </c>
      <c r="C520" s="6">
        <v>13031</v>
      </c>
      <c r="D520" s="6">
        <v>1429721.93</v>
      </c>
    </row>
    <row r="521" spans="2:4">
      <c r="B521" s="4" t="str">
        <f>"JULIUS BAER GRUPPE CHF0.02 (REGD)"</f>
        <v>JULIUS BAER GRUPPE CHF0.02 (REGD)</v>
      </c>
      <c r="C521" s="6">
        <v>882</v>
      </c>
      <c r="D521" s="6">
        <v>41955.53</v>
      </c>
    </row>
    <row r="522" spans="2:4">
      <c r="B522" s="4" t="str">
        <f>"JUNIPER NETWORKS COM USD0.00001"</f>
        <v>JUNIPER NETWORKS COM USD0.00001</v>
      </c>
      <c r="C522" s="6">
        <v>1746</v>
      </c>
      <c r="D522" s="6">
        <v>35338.18</v>
      </c>
    </row>
    <row r="523" spans="2:4">
      <c r="B523" s="4" t="str">
        <f>"K&amp;S AG NPV"</f>
        <v>K&amp;S AG NPV</v>
      </c>
      <c r="C523" s="6">
        <v>1659</v>
      </c>
      <c r="D523" s="6">
        <v>17113.53</v>
      </c>
    </row>
    <row r="524" spans="2:4">
      <c r="B524" s="4" t="str">
        <f>"KAJIMA CORP NPV"</f>
        <v>KAJIMA CORP NPV</v>
      </c>
      <c r="C524" s="6">
        <v>2900</v>
      </c>
      <c r="D524" s="6">
        <v>26664.1</v>
      </c>
    </row>
    <row r="525" spans="2:4">
      <c r="B525" s="4" t="str">
        <f>"KANSAI ELEC POWER NPV"</f>
        <v>KANSAI ELEC POWER NPV</v>
      </c>
      <c r="C525" s="6">
        <v>4500</v>
      </c>
      <c r="D525" s="6">
        <v>30537.53</v>
      </c>
    </row>
    <row r="526" spans="2:4">
      <c r="B526" s="4" t="str">
        <f>"KANSAS CITY STHN I COM USD0.01"</f>
        <v>KANSAS CITY STHN I COM USD0.01</v>
      </c>
      <c r="C526" s="6">
        <v>71</v>
      </c>
      <c r="D526" s="6">
        <v>13675.55</v>
      </c>
    </row>
    <row r="527" spans="2:4">
      <c r="B527" s="4" t="str">
        <f>"KAO CORP NPV"</f>
        <v>KAO CORP NPV</v>
      </c>
      <c r="C527" s="6">
        <v>1500</v>
      </c>
      <c r="D527" s="6">
        <v>65223.149999999994</v>
      </c>
    </row>
    <row r="528" spans="2:4">
      <c r="B528" s="4" t="str">
        <f>"KAWASAKI HEAVY IND NPV"</f>
        <v>KAWASAKI HEAVY IND NPV</v>
      </c>
      <c r="C528" s="6">
        <v>2100</v>
      </c>
      <c r="D528" s="6">
        <v>31350.49</v>
      </c>
    </row>
    <row r="529" spans="2:4">
      <c r="B529" s="4" t="str">
        <f>"KB FINANCIAL GROUP KRW5000"</f>
        <v>KB FINANCIAL GROUP KRW5000</v>
      </c>
      <c r="C529" s="6">
        <v>2905</v>
      </c>
      <c r="D529" s="6">
        <v>94247.88</v>
      </c>
    </row>
    <row r="530" spans="2:4">
      <c r="B530" s="4" t="str">
        <f>"KBC GROUP NV NPV"</f>
        <v>KBC GROUP NV NPV</v>
      </c>
      <c r="C530" s="6">
        <v>1727</v>
      </c>
      <c r="D530" s="6">
        <v>100011.38</v>
      </c>
    </row>
    <row r="531" spans="2:4">
      <c r="B531" s="4" t="str">
        <f>"KDDI CORP NPV"</f>
        <v>KDDI CORP NPV</v>
      </c>
      <c r="C531" s="6">
        <v>8800</v>
      </c>
      <c r="D531" s="6">
        <v>192158.23</v>
      </c>
    </row>
    <row r="532" spans="2:4">
      <c r="B532" s="4" t="str">
        <f>"KELLOGG CO COM USD0.25"</f>
        <v>KELLOGG CO COM USD0.25</v>
      </c>
      <c r="C532" s="6">
        <v>1106</v>
      </c>
      <c r="D532" s="6">
        <v>50401.81</v>
      </c>
    </row>
    <row r="533" spans="2:4">
      <c r="B533" s="4" t="str">
        <f>"KERING EUR4"</f>
        <v>KERING EUR4</v>
      </c>
      <c r="C533" s="6">
        <v>130</v>
      </c>
      <c r="D533" s="6">
        <v>83843.100000000006</v>
      </c>
    </row>
    <row r="534" spans="2:4">
      <c r="B534" s="4" t="str">
        <f>"KEURIG DR PEPPER COM USD0.01"</f>
        <v>KEURIG DR PEPPER COM USD0.01</v>
      </c>
      <c r="C534" s="6">
        <v>1000</v>
      </c>
      <c r="D534" s="6">
        <v>25324.560000000001</v>
      </c>
    </row>
    <row r="535" spans="2:4">
      <c r="B535" s="4" t="str">
        <f>"KEYCORP NEW COM"</f>
        <v>KEYCORP NEW COM</v>
      </c>
      <c r="C535" s="6">
        <v>5863</v>
      </c>
      <c r="D535" s="6">
        <v>82904.72</v>
      </c>
    </row>
    <row r="536" spans="2:4">
      <c r="B536" s="4" t="str">
        <f>"KEYENCE CORP NPV"</f>
        <v>KEYENCE CORP NPV</v>
      </c>
      <c r="C536" s="6">
        <v>100</v>
      </c>
      <c r="D536" s="6">
        <v>39805.78</v>
      </c>
    </row>
    <row r="537" spans="2:4">
      <c r="B537" s="4" t="str">
        <f>"KIA CORPORATION KRW5000"</f>
        <v>KIA CORPORATION KRW5000</v>
      </c>
      <c r="C537" s="6">
        <v>1898</v>
      </c>
      <c r="D537" s="6">
        <v>99217</v>
      </c>
    </row>
    <row r="538" spans="2:4">
      <c r="B538" s="4" t="str">
        <f>"KIMBERLY-CLARK CP COM USD1.25"</f>
        <v>KIMBERLY-CLARK CP COM USD1.25</v>
      </c>
      <c r="C538" s="6">
        <v>1218</v>
      </c>
      <c r="D538" s="6">
        <v>118895.93</v>
      </c>
    </row>
    <row r="539" spans="2:4">
      <c r="B539" s="4" t="str">
        <f>"KIMCO REALTY COM USD0.01"</f>
        <v>KIMCO REALTY COM USD0.01</v>
      </c>
      <c r="C539" s="6">
        <v>2805</v>
      </c>
      <c r="D539" s="6">
        <v>43032.800000000003</v>
      </c>
    </row>
    <row r="540" spans="2:4">
      <c r="B540" s="4" t="str">
        <f>"KINDER MORGAN INC USD0.01"</f>
        <v>KINDER MORGAN INC USD0.01</v>
      </c>
      <c r="C540" s="6">
        <v>14996</v>
      </c>
      <c r="D540" s="6">
        <v>189932.06999999998</v>
      </c>
    </row>
    <row r="541" spans="2:4">
      <c r="B541" s="4" t="str">
        <f>"KINGFISHER ORD GBP0.157142857"</f>
        <v>KINGFISHER ORD GBP0.157142857</v>
      </c>
      <c r="C541" s="6">
        <v>18837</v>
      </c>
      <c r="D541" s="6">
        <v>69395.509999999995</v>
      </c>
    </row>
    <row r="542" spans="2:4">
      <c r="B542" s="4" t="str">
        <f>"KINROSS GOLD CORP COM NPV"</f>
        <v>KINROSS GOLD CORP COM NPV</v>
      </c>
      <c r="C542" s="6">
        <v>2277</v>
      </c>
      <c r="D542" s="6">
        <v>10718.27</v>
      </c>
    </row>
    <row r="543" spans="2:4">
      <c r="B543" s="4" t="str">
        <f>"KINTETSU GROUP HOL NPV"</f>
        <v>KINTETSU GROUP HOL NPV</v>
      </c>
      <c r="C543" s="6">
        <v>300</v>
      </c>
      <c r="D543" s="6">
        <v>7244.86</v>
      </c>
    </row>
    <row r="544" spans="2:4">
      <c r="B544" s="4" t="str">
        <f>"KIRIN HOLDINGS CO LTD NPV"</f>
        <v>KIRIN HOLDINGS CO LTD NPV</v>
      </c>
      <c r="C544" s="6">
        <v>3700</v>
      </c>
      <c r="D544" s="6">
        <v>49163.05</v>
      </c>
    </row>
    <row r="545" spans="2:4">
      <c r="B545" s="4" t="str">
        <f>"KKR &amp; CO INC COM NPV CLASS A"</f>
        <v>KKR &amp; CO INC COM NPV CLASS A</v>
      </c>
      <c r="C545" s="6">
        <v>382</v>
      </c>
      <c r="D545" s="6">
        <v>17518.12</v>
      </c>
    </row>
    <row r="546" spans="2:4">
      <c r="B546" s="4" t="str">
        <f>"KLA CORPORATION COM USD0.001"</f>
        <v>KLA CORPORATION COM USD0.001</v>
      </c>
      <c r="C546" s="6">
        <v>353</v>
      </c>
      <c r="D546" s="6">
        <v>88395.35</v>
      </c>
    </row>
    <row r="547" spans="2:4">
      <c r="B547" s="4" t="str">
        <f>"KLEPIERRE EUR1.40"</f>
        <v>KLEPIERRE EUR1.40</v>
      </c>
      <c r="C547" s="6">
        <v>1590</v>
      </c>
      <c r="D547" s="6">
        <v>27731.78</v>
      </c>
    </row>
    <row r="548" spans="2:4">
      <c r="B548" s="4" t="str">
        <f>"KOBE STEEL NPV"</f>
        <v>KOBE STEEL NPV</v>
      </c>
      <c r="C548" s="6">
        <v>3500</v>
      </c>
      <c r="D548" s="6">
        <v>16698.240000000002</v>
      </c>
    </row>
    <row r="549" spans="2:4">
      <c r="B549" s="4" t="str">
        <f>"KOHLS CORPORATION COM USD0.01"</f>
        <v>KOHLS CORPORATION COM USD0.01</v>
      </c>
      <c r="C549" s="6">
        <v>2508</v>
      </c>
      <c r="D549" s="6">
        <v>91636.21</v>
      </c>
    </row>
    <row r="550" spans="2:4">
      <c r="B550" s="4" t="str">
        <f>"KOMATSU NPV"</f>
        <v>KOMATSU NPV</v>
      </c>
      <c r="C550" s="6">
        <v>4700</v>
      </c>
      <c r="D550" s="6">
        <v>87136.91</v>
      </c>
    </row>
    <row r="551" spans="2:4">
      <c r="B551" s="4" t="str">
        <f>"KON KPN NV EUR0.04"</f>
        <v>KON KPN NV EUR0.04</v>
      </c>
      <c r="C551" s="6">
        <v>23269</v>
      </c>
      <c r="D551" s="6">
        <v>55736.47</v>
      </c>
    </row>
    <row r="552" spans="2:4">
      <c r="B552" s="4" t="str">
        <f>"KONE CORPORATION NPV ORD 'B'"</f>
        <v>KONE CORPORATION NPV ORD 'B'</v>
      </c>
      <c r="C552" s="6">
        <v>825</v>
      </c>
      <c r="D552" s="6">
        <v>49127.1</v>
      </c>
    </row>
    <row r="553" spans="2:4">
      <c r="B553" s="4" t="str">
        <f>"KONICA MINOLTA INC NPV"</f>
        <v>KONICA MINOLTA INC NPV</v>
      </c>
      <c r="C553" s="6">
        <v>10200</v>
      </c>
      <c r="D553" s="6">
        <v>37433.42</v>
      </c>
    </row>
    <row r="554" spans="2:4">
      <c r="B554" s="4" t="str">
        <f>"KONINKLIJKE AHOLD EUR0.01"</f>
        <v>KONINKLIJKE AHOLD EUR0.01</v>
      </c>
      <c r="C554" s="6">
        <v>7505</v>
      </c>
      <c r="D554" s="6">
        <v>167670.41</v>
      </c>
    </row>
    <row r="555" spans="2:4">
      <c r="B555" s="4" t="str">
        <f>"KONINKLIJKE DSM NV EUR1.5"</f>
        <v>KONINKLIJKE DSM NV EUR1.5</v>
      </c>
      <c r="C555" s="6">
        <v>512</v>
      </c>
      <c r="D555" s="6">
        <v>74212.73</v>
      </c>
    </row>
    <row r="556" spans="2:4">
      <c r="B556" s="4" t="str">
        <f>"KONINKLIJKE PHILIPS NV EUR0.20"</f>
        <v>KONINKLIJKE PHILIPS NV EUR0.20</v>
      </c>
      <c r="C556" s="6">
        <v>2973</v>
      </c>
      <c r="D556" s="6">
        <v>98609.82</v>
      </c>
    </row>
    <row r="557" spans="2:4">
      <c r="B557" s="4" t="str">
        <f>"KOREA ELEC POWER KRW5000"</f>
        <v>KOREA ELEC POWER KRW5000</v>
      </c>
      <c r="C557" s="6">
        <v>4588</v>
      </c>
      <c r="D557" s="6">
        <v>71434.23</v>
      </c>
    </row>
    <row r="558" spans="2:4">
      <c r="B558" s="4" t="str">
        <f>"KRAFT HEINZ CO COM USD0.01"</f>
        <v>KRAFT HEINZ CO COM USD0.01</v>
      </c>
      <c r="C558" s="6">
        <v>5007</v>
      </c>
      <c r="D558" s="6">
        <v>138540.14000000001</v>
      </c>
    </row>
    <row r="559" spans="2:4">
      <c r="B559" s="4" t="str">
        <f>"KROGER CO COM USD1"</f>
        <v>KROGER CO COM USD1</v>
      </c>
      <c r="C559" s="6">
        <v>9046</v>
      </c>
      <c r="D559" s="6">
        <v>264805.40999999997</v>
      </c>
    </row>
    <row r="560" spans="2:4">
      <c r="B560" s="4" t="str">
        <f>"KUBOTA CORP NPV"</f>
        <v>KUBOTA CORP NPV</v>
      </c>
      <c r="C560" s="6">
        <v>3900</v>
      </c>
      <c r="D560" s="6">
        <v>58577.509999999995</v>
      </c>
    </row>
    <row r="561" spans="2:4">
      <c r="B561" s="4" t="str">
        <f>"KUEHNE&amp;NAGEL INTL CHF1(REGD)(POST-SUBD)"</f>
        <v>KUEHNE&amp;NAGEL INTL CHF1(REGD)(POST-SUBD)</v>
      </c>
      <c r="C561" s="6">
        <v>180</v>
      </c>
      <c r="D561" s="6">
        <v>43654.57</v>
      </c>
    </row>
    <row r="562" spans="2:4">
      <c r="B562" s="4" t="str">
        <f>"KYOCERA CORP NPV"</f>
        <v>KYOCERA CORP NPV</v>
      </c>
      <c r="C562" s="6">
        <v>1500</v>
      </c>
      <c r="D562" s="6">
        <v>66226.09</v>
      </c>
    </row>
    <row r="563" spans="2:4">
      <c r="B563" s="4" t="str">
        <f>"L3HARRIS TECHNOLOG COM USD1.00"</f>
        <v>L3HARRIS TECHNOLOG COM USD1.00</v>
      </c>
      <c r="C563" s="6">
        <v>441</v>
      </c>
      <c r="D563" s="6">
        <v>71918.83</v>
      </c>
    </row>
    <row r="564" spans="2:4">
      <c r="B564" s="4" t="str">
        <f>"LAB CORP AMER HLDG COM USD0.1"</f>
        <v>LAB CORP AMER HLDG COM USD0.1</v>
      </c>
      <c r="C564" s="6">
        <v>330</v>
      </c>
      <c r="D564" s="6">
        <v>70291.289999999994</v>
      </c>
    </row>
    <row r="565" spans="2:4">
      <c r="B565" s="4" t="str">
        <f>"LAM RESEARCH CORP COM USD0.001"</f>
        <v>LAM RESEARCH CORP COM USD0.001</v>
      </c>
      <c r="C565" s="6">
        <v>136</v>
      </c>
      <c r="D565" s="6">
        <v>62349.599999999999</v>
      </c>
    </row>
    <row r="566" spans="2:4">
      <c r="B566" s="4" t="str">
        <f>"LAND SECURITIES GP ORD GBP0.106666666"</f>
        <v>LAND SECURITIES GP ORD GBP0.106666666</v>
      </c>
      <c r="C566" s="6">
        <v>5522</v>
      </c>
      <c r="D566" s="6">
        <v>39184.11</v>
      </c>
    </row>
    <row r="567" spans="2:4">
      <c r="B567" s="4" t="s">
        <v>45</v>
      </c>
      <c r="C567" s="6">
        <v>157890</v>
      </c>
      <c r="D567" s="6">
        <v>1120387.44</v>
      </c>
    </row>
    <row r="568" spans="2:4">
      <c r="B568" s="4" t="str">
        <f>"LANXESS AG NPV"</f>
        <v>LANXESS AG NPV</v>
      </c>
      <c r="C568" s="6">
        <v>577</v>
      </c>
      <c r="D568" s="6">
        <v>30048.3</v>
      </c>
    </row>
    <row r="569" spans="2:4">
      <c r="B569" s="4" t="str">
        <f>"LAS VEGAS SANDS CORP COM"</f>
        <v>LAS VEGAS SANDS CORP COM</v>
      </c>
      <c r="C569" s="6">
        <v>1675</v>
      </c>
      <c r="D569" s="6">
        <v>51020.43</v>
      </c>
    </row>
    <row r="570" spans="2:4">
      <c r="B570" s="4" t="str">
        <f>"LEAR CORP COM USD0.01"</f>
        <v>LEAR CORP COM USD0.01</v>
      </c>
      <c r="C570" s="6">
        <v>478</v>
      </c>
      <c r="D570" s="6">
        <v>60157.83</v>
      </c>
    </row>
    <row r="571" spans="2:4">
      <c r="B571" s="4" t="str">
        <f>"LEGAL &amp; GENERAL GP ORD GBP0.025"</f>
        <v>LEGAL &amp; GENERAL GP ORD GBP0.025</v>
      </c>
      <c r="C571" s="6">
        <v>45557</v>
      </c>
      <c r="D571" s="6">
        <v>119086</v>
      </c>
    </row>
    <row r="572" spans="2:4">
      <c r="B572" s="4" t="s">
        <v>44</v>
      </c>
      <c r="C572" s="6">
        <v>253361</v>
      </c>
      <c r="D572" s="6">
        <v>662285.65</v>
      </c>
    </row>
    <row r="573" spans="2:4">
      <c r="B573" s="4" t="str">
        <f>"LEGRAND SA EUR4"</f>
        <v>LEGRAND SA EUR4</v>
      </c>
      <c r="C573" s="6">
        <v>707</v>
      </c>
      <c r="D573" s="6">
        <v>57235.360000000001</v>
      </c>
    </row>
    <row r="574" spans="2:4">
      <c r="B574" s="4" t="str">
        <f>"LEIDOS HLDGS INC COM USD0.0001"</f>
        <v>LEIDOS HLDGS INC COM USD0.0001</v>
      </c>
      <c r="C574" s="6">
        <v>573</v>
      </c>
      <c r="D574" s="6">
        <v>43858.5</v>
      </c>
    </row>
    <row r="575" spans="2:4">
      <c r="B575" s="4" t="str">
        <f>"LEND LEASE GROUP NPV"</f>
        <v>LEND LEASE GROUP NPV</v>
      </c>
      <c r="C575" s="6">
        <v>3702</v>
      </c>
      <c r="D575" s="6">
        <v>23818.79</v>
      </c>
    </row>
    <row r="576" spans="2:4">
      <c r="B576" s="4" t="str">
        <f>"LENNAR CORP COM CL'A'USD0.10"</f>
        <v>LENNAR CORP COM CL'A'USD0.10</v>
      </c>
      <c r="C576" s="6">
        <v>932</v>
      </c>
      <c r="D576" s="6">
        <v>70485.710000000006</v>
      </c>
    </row>
    <row r="577" spans="2:4">
      <c r="B577" s="4" t="str">
        <f>"LENOVO GROUP LTD HKD0.025"</f>
        <v>LENOVO GROUP LTD HKD0.025</v>
      </c>
      <c r="C577" s="6">
        <v>74000</v>
      </c>
      <c r="D577" s="6">
        <v>51229.61</v>
      </c>
    </row>
    <row r="578" spans="2:4">
      <c r="B578" s="4" t="str">
        <f>"LEONARDO SPA EUR4.40"</f>
        <v>LEONARDO SPA EUR4.40</v>
      </c>
      <c r="C578" s="6">
        <v>3745</v>
      </c>
      <c r="D578" s="6">
        <v>21195.59</v>
      </c>
    </row>
    <row r="579" spans="2:4">
      <c r="B579" s="4" t="str">
        <f>"LG CHEMICAL KRW5000"</f>
        <v>LG CHEMICAL KRW5000</v>
      </c>
      <c r="C579" s="6">
        <v>133</v>
      </c>
      <c r="D579" s="6">
        <v>70024.070000000007</v>
      </c>
    </row>
    <row r="580" spans="2:4">
      <c r="B580" s="4" t="str">
        <f>"LG DISPLAY CO LTD KRW5000"</f>
        <v>LG DISPLAY CO LTD KRW5000</v>
      </c>
      <c r="C580" s="6">
        <v>4387</v>
      </c>
      <c r="D580" s="6">
        <v>60486.69</v>
      </c>
    </row>
    <row r="581" spans="2:4">
      <c r="B581" s="4" t="str">
        <f>"LG ELECTRONICS INC KRW5000"</f>
        <v>LG ELECTRONICS INC KRW5000</v>
      </c>
      <c r="C581" s="6">
        <v>879</v>
      </c>
      <c r="D581" s="6">
        <v>86567.14</v>
      </c>
    </row>
    <row r="582" spans="2:4">
      <c r="B582" s="4" t="str">
        <f>"LG ELECTRONICS INC PRF KRW5000 NON VTG"</f>
        <v>LG ELECTRONICS INC PRF KRW5000 NON VTG</v>
      </c>
      <c r="C582" s="6">
        <v>331</v>
      </c>
      <c r="D582" s="6">
        <v>15771.27</v>
      </c>
    </row>
    <row r="583" spans="2:4">
      <c r="B583" s="4" t="str">
        <f>"LIBERTY GLOBAL INC USD0.01 A"</f>
        <v>LIBERTY GLOBAL INC USD0.01 A</v>
      </c>
      <c r="C583" s="6">
        <v>1822</v>
      </c>
      <c r="D583" s="6">
        <v>35185.89</v>
      </c>
    </row>
    <row r="584" spans="2:4">
      <c r="B584" s="4" t="str">
        <f>"LIBERTY GLOBAL INC USD0.01 C"</f>
        <v>LIBERTY GLOBAL INC USD0.01 C</v>
      </c>
      <c r="C584" s="6">
        <v>3960</v>
      </c>
      <c r="D584" s="6">
        <v>76502.75</v>
      </c>
    </row>
    <row r="585" spans="2:4">
      <c r="B585" s="4" t="str">
        <f>"LIBERTY MEDIA CORP COM USD0.01 SER A SIRIUSXM"</f>
        <v>LIBERTY MEDIA CORP COM USD0.01 SER A SIRIUSXM</v>
      </c>
      <c r="C585" s="6">
        <v>332</v>
      </c>
      <c r="D585" s="6">
        <v>11149.05</v>
      </c>
    </row>
    <row r="586" spans="2:4">
      <c r="B586" s="4" t="str">
        <f>"LIBERTY MEDIA CORP COM USD0.01 SER C SIRIUSXM"</f>
        <v>LIBERTY MEDIA CORP COM USD0.01 SER C SIRIUSXM</v>
      </c>
      <c r="C586" s="6">
        <v>1152</v>
      </c>
      <c r="D586" s="6">
        <v>38279.86</v>
      </c>
    </row>
    <row r="587" spans="2:4">
      <c r="B587" s="4" t="str">
        <f>"LINCOLN NATL CORP COM NPV"</f>
        <v>LINCOLN NATL CORP COM NPV</v>
      </c>
      <c r="C587" s="6">
        <v>1937</v>
      </c>
      <c r="D587" s="6">
        <v>86344.77</v>
      </c>
    </row>
    <row r="588" spans="2:4">
      <c r="B588" s="4" t="str">
        <f>"LINDE PLC COM EUR0.001"</f>
        <v>LINDE PLC COM EUR0.001</v>
      </c>
      <c r="C588" s="6">
        <v>463</v>
      </c>
      <c r="D588" s="6">
        <v>101939.01</v>
      </c>
    </row>
    <row r="589" spans="2:4">
      <c r="B589" s="4" t="str">
        <f>"LINDE PLC COM EUR0.001"</f>
        <v>LINDE PLC COM EUR0.001</v>
      </c>
      <c r="C589" s="6">
        <v>726</v>
      </c>
      <c r="D589" s="6">
        <v>160510.04</v>
      </c>
    </row>
    <row r="590" spans="2:4">
      <c r="B590" s="4" t="str">
        <f>"LIXIL CORPORATION COM NPV"</f>
        <v>LIXIL CORPORATION COM NPV</v>
      </c>
      <c r="C590" s="6">
        <v>1000</v>
      </c>
      <c r="D590" s="6">
        <v>19490.02</v>
      </c>
    </row>
    <row r="591" spans="2:4">
      <c r="B591" s="4" t="str">
        <f>"LKQ CORP COM"</f>
        <v>LKQ CORP COM</v>
      </c>
      <c r="C591" s="6">
        <v>1425</v>
      </c>
      <c r="D591" s="6">
        <v>52014.78</v>
      </c>
    </row>
    <row r="592" spans="2:4">
      <c r="B592" s="4" t="str">
        <f>"LLOYDS BANKING GP ORD GBP0.1"</f>
        <v>LLOYDS BANKING GP ORD GBP0.1</v>
      </c>
      <c r="C592" s="6">
        <v>653113</v>
      </c>
      <c r="D592" s="6">
        <v>298048.12</v>
      </c>
    </row>
    <row r="593" spans="2:4">
      <c r="B593" s="4" t="s">
        <v>39</v>
      </c>
      <c r="C593" s="6">
        <v>3387529</v>
      </c>
      <c r="D593" s="6">
        <v>1545898.86</v>
      </c>
    </row>
    <row r="594" spans="2:4">
      <c r="B594" s="4" t="str">
        <f>"LOBLAW COS LTD COM"</f>
        <v>LOBLAW COS LTD COM</v>
      </c>
      <c r="C594" s="6">
        <v>1100</v>
      </c>
      <c r="D594" s="6">
        <v>53490.25</v>
      </c>
    </row>
    <row r="595" spans="2:4">
      <c r="B595" s="4" t="str">
        <f>"LOCKHEED MARTIN CORP COM"</f>
        <v>LOCKHEED MARTIN CORP COM</v>
      </c>
      <c r="C595" s="6">
        <v>731</v>
      </c>
      <c r="D595" s="6">
        <v>195411.78</v>
      </c>
    </row>
    <row r="596" spans="2:4">
      <c r="B596" s="4" t="str">
        <f>"LOEWS CORP COM"</f>
        <v>LOEWS CORP COM</v>
      </c>
      <c r="C596" s="6">
        <v>1732</v>
      </c>
      <c r="D596" s="6">
        <v>66808.47</v>
      </c>
    </row>
    <row r="597" spans="2:4">
      <c r="B597" s="4" t="str">
        <f>"LONZA GROUP AG CHF1(REGD)"</f>
        <v>LONZA GROUP AG CHF1(REGD)</v>
      </c>
      <c r="C597" s="6">
        <v>77</v>
      </c>
      <c r="D597" s="6">
        <v>43093.02</v>
      </c>
    </row>
    <row r="598" spans="2:4">
      <c r="B598" s="4" t="str">
        <f>"L'OREAL EUR0.20"</f>
        <v>L'OREAL EUR0.20</v>
      </c>
      <c r="C598" s="6">
        <v>399</v>
      </c>
      <c r="D598" s="6">
        <v>131321.24</v>
      </c>
    </row>
    <row r="599" spans="2:4">
      <c r="B599" s="4" t="str">
        <f>"LOTTE CHEMICAL CO KRW5000"</f>
        <v>LOTTE CHEMICAL CO KRW5000</v>
      </c>
      <c r="C599" s="6">
        <v>148</v>
      </c>
      <c r="D599" s="6">
        <v>24015.01</v>
      </c>
    </row>
    <row r="600" spans="2:4">
      <c r="B600" s="4" t="str">
        <f>"LOWE'S COS INC COM USD0.50"</f>
        <v>LOWE'S COS INC COM USD0.50</v>
      </c>
      <c r="C600" s="6">
        <v>1730</v>
      </c>
      <c r="D600" s="6">
        <v>240608.55</v>
      </c>
    </row>
    <row r="601" spans="2:4">
      <c r="B601" s="4" t="str">
        <f>"LUMEN TECHNOLOGIES COM USD1.00"</f>
        <v>LUMEN TECHNOLOGIES COM USD1.00</v>
      </c>
      <c r="C601" s="6">
        <v>18373</v>
      </c>
      <c r="D601" s="6">
        <v>164786.79</v>
      </c>
    </row>
    <row r="602" spans="2:4">
      <c r="B602" s="4" t="str">
        <f>"LVMH MOET HENNESSY EUR0.30"</f>
        <v>LVMH MOET HENNESSY EUR0.30</v>
      </c>
      <c r="C602" s="6">
        <v>396</v>
      </c>
      <c r="D602" s="6">
        <v>227602.98</v>
      </c>
    </row>
    <row r="603" spans="2:4">
      <c r="B603" s="4" t="str">
        <f>"LYONDELLBASELL IND COM USD0.01"</f>
        <v>LYONDELLBASELL IND COM USD0.01</v>
      </c>
      <c r="C603" s="6">
        <v>2122</v>
      </c>
      <c r="D603" s="6">
        <v>151600.85999999999</v>
      </c>
    </row>
    <row r="604" spans="2:4">
      <c r="B604" s="4" t="str">
        <f>"M &amp; T BANK CORP COM USD0.50"</f>
        <v>M &amp; T BANK CORP COM USD0.50</v>
      </c>
      <c r="C604" s="6">
        <v>794</v>
      </c>
      <c r="D604" s="6">
        <v>76438.95</v>
      </c>
    </row>
    <row r="605" spans="2:4">
      <c r="B605" s="4" t="s">
        <v>42</v>
      </c>
      <c r="C605" s="6">
        <v>692006</v>
      </c>
      <c r="D605" s="6">
        <v>1559781.52</v>
      </c>
    </row>
    <row r="606" spans="2:4">
      <c r="B606" s="4" t="str">
        <f>"M&amp;G PLC ORD GBP0.05"</f>
        <v>M&amp;G PLC ORD GBP0.05</v>
      </c>
      <c r="C606" s="6">
        <v>17895</v>
      </c>
      <c r="D606" s="6">
        <v>40335.33</v>
      </c>
    </row>
    <row r="607" spans="2:4">
      <c r="B607" s="4" t="str">
        <f>"MACQUARIE GP LTD NPV"</f>
        <v>MACQUARIE GP LTD NPV</v>
      </c>
      <c r="C607" s="6">
        <v>1184</v>
      </c>
      <c r="D607" s="6">
        <v>98212.64</v>
      </c>
    </row>
    <row r="608" spans="2:4">
      <c r="B608" s="4" t="str">
        <f>"MACY'S INC COM STK USD0.01"</f>
        <v>MACY'S INC COM STK USD0.01</v>
      </c>
      <c r="C608" s="6">
        <v>10386</v>
      </c>
      <c r="D608" s="6">
        <v>126991.05</v>
      </c>
    </row>
    <row r="609" spans="2:4">
      <c r="B609" s="4" t="str">
        <f>"MAGNA INTL INC COM NPV"</f>
        <v>MAGNA INTL INC COM NPV</v>
      </c>
      <c r="C609" s="6">
        <v>2217</v>
      </c>
      <c r="D609" s="6">
        <v>133609.35999999999</v>
      </c>
    </row>
    <row r="610" spans="2:4">
      <c r="B610" s="4" t="str">
        <f>"MANPOWER GROUP COM USD0.01"</f>
        <v>MANPOWER GROUP COM USD0.01</v>
      </c>
      <c r="C610" s="6">
        <v>626</v>
      </c>
      <c r="D610" s="6">
        <v>53390.21</v>
      </c>
    </row>
    <row r="611" spans="2:4">
      <c r="B611" s="4" t="str">
        <f>"MANULIFE FINL CORP COM"</f>
        <v>MANULIFE FINL CORP COM</v>
      </c>
      <c r="C611" s="6">
        <v>13922</v>
      </c>
      <c r="D611" s="6">
        <v>193472.14</v>
      </c>
    </row>
    <row r="612" spans="2:4">
      <c r="B612" s="4" t="str">
        <f>"MARATHON OIL CORP COM USD1"</f>
        <v>MARATHON OIL CORP COM USD1</v>
      </c>
      <c r="C612" s="6">
        <v>6482</v>
      </c>
      <c r="D612" s="6">
        <v>54034.15</v>
      </c>
    </row>
    <row r="613" spans="2:4">
      <c r="B613" s="4" t="str">
        <f>"MARATHON PETROLEUM COM USD0.01"</f>
        <v>MARATHON PETROLEUM COM USD0.01</v>
      </c>
      <c r="C613" s="6">
        <v>4025</v>
      </c>
      <c r="D613" s="6">
        <v>159859.39000000001</v>
      </c>
    </row>
    <row r="614" spans="2:4">
      <c r="B614" s="4" t="str">
        <f>"MARKEL CORP COM"</f>
        <v>MARKEL CORP COM</v>
      </c>
      <c r="C614" s="6">
        <v>39</v>
      </c>
      <c r="D614" s="6">
        <v>33833.660000000003</v>
      </c>
    </row>
    <row r="615" spans="2:4">
      <c r="B615" s="4" t="str">
        <f>"MARKS &amp; SPENCER GP ORD GBP0.25"</f>
        <v>MARKS &amp; SPENCER GP ORD GBP0.25</v>
      </c>
      <c r="C615" s="6">
        <v>22243</v>
      </c>
      <c r="D615" s="6">
        <v>30139.27</v>
      </c>
    </row>
    <row r="616" spans="2:4">
      <c r="B616" s="4" t="s">
        <v>32</v>
      </c>
      <c r="C616" s="6">
        <v>1367085</v>
      </c>
      <c r="D616" s="6">
        <v>1852400.18</v>
      </c>
    </row>
    <row r="617" spans="2:4">
      <c r="B617" s="4" t="str">
        <f>"MARRIOTT INTL INC COM USD0.01 CLASS 'A'"</f>
        <v>MARRIOTT INTL INC COM USD0.01 CLASS 'A'</v>
      </c>
      <c r="C617" s="6">
        <v>527</v>
      </c>
      <c r="D617" s="6">
        <v>55332.44</v>
      </c>
    </row>
    <row r="618" spans="2:4">
      <c r="B618" s="4" t="str">
        <f>"MARSH &amp; MCLENNAN COM USD1"</f>
        <v>MARSH &amp; MCLENNAN COM USD1</v>
      </c>
      <c r="C618" s="6">
        <v>878</v>
      </c>
      <c r="D618" s="6">
        <v>93255.959999999992</v>
      </c>
    </row>
    <row r="619" spans="2:4">
      <c r="B619" s="4" t="str">
        <f>"MARTIN MARIETTA M. COM USD0.01"</f>
        <v>MARTIN MARIETTA M. COM USD0.01</v>
      </c>
      <c r="C619" s="6">
        <v>50</v>
      </c>
      <c r="D619" s="6">
        <v>13065.06</v>
      </c>
    </row>
    <row r="620" spans="2:4">
      <c r="B620" s="4" t="str">
        <f>"MARUBENI CORP NPV"</f>
        <v>MARUBENI CORP NPV</v>
      </c>
      <c r="C620" s="6">
        <v>10600</v>
      </c>
      <c r="D620" s="6">
        <v>64319.3</v>
      </c>
    </row>
    <row r="621" spans="2:4">
      <c r="B621" s="4" t="str">
        <f>"MASTERCARD INC COM USD0.0001 CLASS 'A'"</f>
        <v>MASTERCARD INC COM USD0.0001 CLASS 'A'</v>
      </c>
      <c r="C621" s="6">
        <v>414</v>
      </c>
      <c r="D621" s="6">
        <v>115031.47</v>
      </c>
    </row>
    <row r="622" spans="2:4">
      <c r="B622" s="4" t="str">
        <f>"MATTEL INC COM USD1"</f>
        <v>MATTEL INC COM USD1</v>
      </c>
      <c r="C622" s="6">
        <v>2323</v>
      </c>
      <c r="D622" s="6">
        <v>36289.83</v>
      </c>
    </row>
    <row r="623" spans="2:4">
      <c r="B623" s="4" t="str">
        <f>"MAXIM INTEGRATED COM USD0.001"</f>
        <v>MAXIM INTEGRATED COM USD0.001</v>
      </c>
      <c r="C623" s="6">
        <v>305</v>
      </c>
      <c r="D623" s="6">
        <v>21917.18</v>
      </c>
    </row>
    <row r="624" spans="2:4">
      <c r="B624" s="4" t="str">
        <f>"MAZDA MOTOR CORP NPV"</f>
        <v>MAZDA MOTOR CORP NPV</v>
      </c>
      <c r="C624" s="6">
        <v>7500</v>
      </c>
      <c r="D624" s="6">
        <v>52689.9</v>
      </c>
    </row>
    <row r="625" spans="2:4">
      <c r="B625" s="4" t="str">
        <f>"MCCORMICK &amp; CO INC COM N/VTG NPV"</f>
        <v>MCCORMICK &amp; CO INC COM N/VTG NPV</v>
      </c>
      <c r="C625" s="6">
        <v>609</v>
      </c>
      <c r="D625" s="6">
        <v>36868.080000000002</v>
      </c>
    </row>
    <row r="626" spans="2:4">
      <c r="B626" s="4" t="str">
        <f>"MCDONALD'S CORP COM USD0.01"</f>
        <v>MCDONALD'S CORP COM USD0.01</v>
      </c>
      <c r="C626" s="6">
        <v>1522</v>
      </c>
      <c r="D626" s="6">
        <v>265691.82</v>
      </c>
    </row>
    <row r="627" spans="2:4">
      <c r="B627" s="4" t="str">
        <f>"MCKESSON CORP COM USD0.01"</f>
        <v>MCKESSON CORP COM USD0.01</v>
      </c>
      <c r="C627" s="6">
        <v>1911</v>
      </c>
      <c r="D627" s="6">
        <v>280159.05</v>
      </c>
    </row>
    <row r="628" spans="2:4">
      <c r="B628" s="4" t="str">
        <f>"MEDIOBANCA SPA EUR0.5"</f>
        <v>MEDIOBANCA SPA EUR0.5</v>
      </c>
      <c r="C628" s="6">
        <v>5666</v>
      </c>
      <c r="D628" s="6">
        <v>47773.22</v>
      </c>
    </row>
    <row r="629" spans="2:4">
      <c r="B629" s="4" t="str">
        <f>"MEDTRONIC PLC USD0.0001"</f>
        <v>MEDTRONIC PLC USD0.0001</v>
      </c>
      <c r="C629" s="6">
        <v>3577</v>
      </c>
      <c r="D629" s="6">
        <v>337825.63</v>
      </c>
    </row>
    <row r="630" spans="2:4">
      <c r="B630" s="4" t="str">
        <f>"MEIJI HOLDINGS CO NPV"</f>
        <v>MEIJI HOLDINGS CO NPV</v>
      </c>
      <c r="C630" s="6">
        <v>600</v>
      </c>
      <c r="D630" s="6">
        <v>26659.52</v>
      </c>
    </row>
    <row r="631" spans="2:4">
      <c r="B631" s="4" t="str">
        <f>"MERCK &amp; CO INC COM USD0.50"</f>
        <v>MERCK &amp; CO INC COM USD0.50</v>
      </c>
      <c r="C631" s="6">
        <v>7713</v>
      </c>
      <c r="D631" s="6">
        <v>426438.17</v>
      </c>
    </row>
    <row r="632" spans="2:4">
      <c r="B632" s="4" t="s">
        <v>20</v>
      </c>
      <c r="C632" s="6">
        <v>14480</v>
      </c>
      <c r="D632" s="6">
        <v>800573.67</v>
      </c>
    </row>
    <row r="633" spans="2:4">
      <c r="B633" s="4" t="str">
        <f>"MERCK KGAA NPV"</f>
        <v>MERCK KGAA NPV</v>
      </c>
      <c r="C633" s="6">
        <v>333</v>
      </c>
      <c r="D633" s="6">
        <v>49034.09</v>
      </c>
    </row>
    <row r="634" spans="2:4">
      <c r="B634" s="4" t="str">
        <f>"METLIFE INC COM USD0.01"</f>
        <v>METLIFE INC COM USD0.01</v>
      </c>
      <c r="C634" s="6">
        <v>6616</v>
      </c>
      <c r="D634" s="6">
        <v>274566.26</v>
      </c>
    </row>
    <row r="635" spans="2:4">
      <c r="B635" s="4" t="str">
        <f>"METRO AG (NEW) NPV"</f>
        <v>METRO AG (NEW) NPV</v>
      </c>
      <c r="C635" s="6">
        <v>2735</v>
      </c>
      <c r="D635" s="6">
        <v>25495.57</v>
      </c>
    </row>
    <row r="636" spans="2:4">
      <c r="B636" s="4" t="str">
        <f>"METRO INC CL A SUB"</f>
        <v>METRO INC CL A SUB</v>
      </c>
      <c r="C636" s="6">
        <v>944</v>
      </c>
      <c r="D636" s="6">
        <v>35189.72</v>
      </c>
    </row>
    <row r="637" spans="2:4">
      <c r="B637" s="4" t="str">
        <f>"MGM RESORTS INTL COM STK USD0.01"</f>
        <v>MGM RESORTS INTL COM STK USD0.01</v>
      </c>
      <c r="C637" s="6">
        <v>2458</v>
      </c>
      <c r="D637" s="6">
        <v>66349.289999999994</v>
      </c>
    </row>
    <row r="638" spans="2:4">
      <c r="B638" s="4" t="str">
        <f>"MICHELIN (CGDE) EUR2"</f>
        <v>MICHELIN (CGDE) EUR2</v>
      </c>
      <c r="C638" s="6">
        <v>1122</v>
      </c>
      <c r="D638" s="6">
        <v>131769.26</v>
      </c>
    </row>
    <row r="639" spans="2:4">
      <c r="B639" s="4" t="str">
        <f>"MICRO FOCUS INTL ORD GBP0.10"</f>
        <v>MICRO FOCUS INTL ORD GBP0.10</v>
      </c>
      <c r="C639" s="6">
        <v>3122</v>
      </c>
      <c r="D639" s="6">
        <v>12738.86</v>
      </c>
    </row>
    <row r="640" spans="2:4">
      <c r="B640" s="4" t="str">
        <f>"MICROCHIP TECHNLGY COM USD0.001"</f>
        <v>MICROCHIP TECHNLGY COM USD0.001</v>
      </c>
      <c r="C640" s="6">
        <v>431</v>
      </c>
      <c r="D640" s="6">
        <v>44366.33</v>
      </c>
    </row>
    <row r="641" spans="2:4">
      <c r="B641" s="4" t="str">
        <f>"MICRON TECHNOLOGY COM USD0.10"</f>
        <v>MICRON TECHNOLOGY COM USD0.10</v>
      </c>
      <c r="C641" s="6">
        <v>4321</v>
      </c>
      <c r="D641" s="6">
        <v>241107.04</v>
      </c>
    </row>
    <row r="642" spans="2:4">
      <c r="B642" s="4" t="str">
        <f>"MICROSOFT CORP COM USD0.0000125"</f>
        <v>MICROSOFT CORP COM USD0.0000125</v>
      </c>
      <c r="C642" s="6">
        <v>6484</v>
      </c>
      <c r="D642" s="6">
        <v>1328698.8500000001</v>
      </c>
    </row>
    <row r="643" spans="2:4">
      <c r="B643" s="4" t="str">
        <f>"MID-AMER APARTMENT COM STK USD0.01"</f>
        <v>MID-AMER APARTMENT COM STK USD0.01</v>
      </c>
      <c r="C643" s="6">
        <v>384</v>
      </c>
      <c r="D643" s="6">
        <v>53332.18</v>
      </c>
    </row>
    <row r="644" spans="2:4">
      <c r="B644" s="4" t="str">
        <f>"MIRVAC GROUP STAPLED SECURITIES"</f>
        <v>MIRVAC GROUP STAPLED SECURITIES</v>
      </c>
      <c r="C644" s="6">
        <v>9776</v>
      </c>
      <c r="D644" s="6">
        <v>15045.14</v>
      </c>
    </row>
    <row r="645" spans="2:4">
      <c r="B645" s="4" t="str">
        <f>"MITSUBISHI CHEM HL NPV"</f>
        <v>MITSUBISHI CHEM HL NPV</v>
      </c>
      <c r="C645" s="6">
        <v>10500</v>
      </c>
      <c r="D645" s="6">
        <v>63003.75</v>
      </c>
    </row>
    <row r="646" spans="2:4">
      <c r="B646" s="4" t="str">
        <f>"MITSUBISHI CORP NPV"</f>
        <v>MITSUBISHI CORP NPV</v>
      </c>
      <c r="C646" s="6">
        <v>7100</v>
      </c>
      <c r="D646" s="6">
        <v>142473.75</v>
      </c>
    </row>
    <row r="647" spans="2:4">
      <c r="B647" s="4" t="str">
        <f>"MITSUBISHI ELEC CP NPV"</f>
        <v>MITSUBISHI ELEC CP NPV</v>
      </c>
      <c r="C647" s="6">
        <v>8000</v>
      </c>
      <c r="D647" s="6">
        <v>77383.38</v>
      </c>
    </row>
    <row r="648" spans="2:4">
      <c r="B648" s="4" t="str">
        <f>"MITSUBISHI ESTATE NPV"</f>
        <v>MITSUBISHI ESTATE NPV</v>
      </c>
      <c r="C648" s="6">
        <v>3200</v>
      </c>
      <c r="D648" s="6">
        <v>35902.53</v>
      </c>
    </row>
    <row r="649" spans="2:4">
      <c r="B649" s="4" t="str">
        <f>"MITSUBISHI HVY IND NPV"</f>
        <v>MITSUBISHI HVY IND NPV</v>
      </c>
      <c r="C649" s="6">
        <v>3200</v>
      </c>
      <c r="D649" s="6">
        <v>65933.149999999994</v>
      </c>
    </row>
    <row r="650" spans="2:4">
      <c r="B650" s="4" t="str">
        <f>"MITSUBISHI UFJ FIN NPV"</f>
        <v>MITSUBISHI UFJ FIN NPV</v>
      </c>
      <c r="C650" s="6">
        <v>78800</v>
      </c>
      <c r="D650" s="6">
        <v>298745.18</v>
      </c>
    </row>
    <row r="651" spans="2:4">
      <c r="B651" s="4" t="str">
        <f>"MITSUI &amp; CO NPV"</f>
        <v>MITSUI &amp; CO NPV</v>
      </c>
      <c r="C651" s="6">
        <v>6500</v>
      </c>
      <c r="D651" s="6">
        <v>106472.59</v>
      </c>
    </row>
    <row r="652" spans="2:4">
      <c r="B652" s="4" t="str">
        <f>"MITSUI CHEMICALS NPV"</f>
        <v>MITSUI CHEMICALS NPV</v>
      </c>
      <c r="C652" s="6">
        <v>1100</v>
      </c>
      <c r="D652" s="6">
        <v>25050.639999999999</v>
      </c>
    </row>
    <row r="653" spans="2:4">
      <c r="B653" s="4" t="str">
        <f>"MITSUI FUDOSAN CO NPV"</f>
        <v>MITSUI FUDOSAN CO NPV</v>
      </c>
      <c r="C653" s="6">
        <v>5000</v>
      </c>
      <c r="D653" s="6">
        <v>83638.66</v>
      </c>
    </row>
    <row r="654" spans="2:4">
      <c r="B654" s="4" t="str">
        <f>"MITSUI O.S.K.LINES NPV"</f>
        <v>MITSUI O.S.K.LINES NPV</v>
      </c>
      <c r="C654" s="6">
        <v>1200</v>
      </c>
      <c r="D654" s="6">
        <v>44432.53</v>
      </c>
    </row>
    <row r="655" spans="2:4">
      <c r="B655" s="4" t="str">
        <f>"MIZUHO FINL GP NPV"</f>
        <v>MIZUHO FINL GP NPV</v>
      </c>
      <c r="C655" s="6">
        <v>13150</v>
      </c>
      <c r="D655" s="6">
        <v>134911.87</v>
      </c>
    </row>
    <row r="656" spans="2:4">
      <c r="B656" s="4" t="str">
        <f>"MOHAWK INDS COM USD0.01"</f>
        <v>MOHAWK INDS COM USD0.01</v>
      </c>
      <c r="C656" s="6">
        <v>390</v>
      </c>
      <c r="D656" s="6">
        <v>54670.41</v>
      </c>
    </row>
    <row r="657" spans="2:4">
      <c r="B657" s="4" t="str">
        <f>"MOLINA HEALTHCARE INC COM"</f>
        <v>MOLINA HEALTHCARE INC COM</v>
      </c>
      <c r="C657" s="6">
        <v>263</v>
      </c>
      <c r="D657" s="6">
        <v>51642.85</v>
      </c>
    </row>
    <row r="658" spans="2:4">
      <c r="B658" s="4" t="str">
        <f>"MOLSON COORS BEVER COM USD0.01 CLASS B"</f>
        <v>MOLSON COORS BEVER COM USD0.01 CLASS B</v>
      </c>
      <c r="C658" s="6">
        <v>1289</v>
      </c>
      <c r="D658" s="6">
        <v>45326.15</v>
      </c>
    </row>
    <row r="659" spans="2:4">
      <c r="B659" s="4" t="str">
        <f>"MONDELEZ INTL INC COM USD0.01"</f>
        <v>MONDELEZ INTL INC COM USD0.01</v>
      </c>
      <c r="C659" s="6">
        <v>4286</v>
      </c>
      <c r="D659" s="6">
        <v>195010.15</v>
      </c>
    </row>
    <row r="660" spans="2:4">
      <c r="B660" s="4" t="str">
        <f>"MONDI ORD EUR0.20"</f>
        <v>MONDI ORD EUR0.20</v>
      </c>
      <c r="C660" s="6">
        <v>1832</v>
      </c>
      <c r="D660" s="6">
        <v>36566.720000000001</v>
      </c>
    </row>
    <row r="661" spans="2:4">
      <c r="B661" s="4" t="str">
        <f>"MOODYS CORP COM USD0.01"</f>
        <v>MOODYS CORP COM USD0.01</v>
      </c>
      <c r="C661" s="6">
        <v>55</v>
      </c>
      <c r="D661" s="6">
        <v>14873.95</v>
      </c>
    </row>
    <row r="662" spans="2:4">
      <c r="B662" s="4" t="str">
        <f>"MORGAN STANLEY COM STK USD0.01"</f>
        <v>MORGAN STANLEY COM STK USD0.01</v>
      </c>
      <c r="C662" s="6">
        <v>5381</v>
      </c>
      <c r="D662" s="6">
        <v>373769.24</v>
      </c>
    </row>
    <row r="663" spans="2:4">
      <c r="B663" s="4" t="s">
        <v>4</v>
      </c>
      <c r="C663" s="6">
        <v>750026</v>
      </c>
      <c r="D663" s="6">
        <v>2007069.58</v>
      </c>
    </row>
    <row r="664" spans="2:4">
      <c r="B664" s="4" t="str">
        <f>"MORRISON(W)SUPRMKT ORD GBP0.10"</f>
        <v>MORRISON(W)SUPRMKT ORD GBP0.10</v>
      </c>
      <c r="C664" s="6">
        <v>22105</v>
      </c>
      <c r="D664" s="6">
        <v>59152.98</v>
      </c>
    </row>
    <row r="665" spans="2:4">
      <c r="B665" s="4" t="str">
        <f>"MOSAIC CO COM USD0.01"</f>
        <v>MOSAIC CO COM USD0.01</v>
      </c>
      <c r="C665" s="6">
        <v>2598</v>
      </c>
      <c r="D665" s="6">
        <v>58356.2</v>
      </c>
    </row>
    <row r="666" spans="2:4">
      <c r="B666" s="4" t="str">
        <f>"MOTOROLA SOLUTIONS COM USD0.01"</f>
        <v>MOTOROLA SOLUTIONS COM USD0.01</v>
      </c>
      <c r="C666" s="6">
        <v>187</v>
      </c>
      <c r="D666" s="6">
        <v>30116.91</v>
      </c>
    </row>
    <row r="667" spans="2:4">
      <c r="B667" s="4" t="str">
        <f>"MOWI ASA NOK7.50"</f>
        <v>MOWI ASA NOK7.50</v>
      </c>
      <c r="C667" s="6">
        <v>1731</v>
      </c>
      <c r="D667" s="6">
        <v>31735.27</v>
      </c>
    </row>
    <row r="668" spans="2:4">
      <c r="B668" s="4" t="str">
        <f>"MS&amp;AD INSURANCE GROUP HOLDINGS INC NPV"</f>
        <v>MS&amp;AD INSURANCE GROUP HOLDINGS INC NPV</v>
      </c>
      <c r="C668" s="6">
        <v>3000</v>
      </c>
      <c r="D668" s="6">
        <v>66452.19</v>
      </c>
    </row>
    <row r="669" spans="2:4">
      <c r="B669" s="4" t="str">
        <f>"MTR CORP HKD1"</f>
        <v>MTR CORP HKD1</v>
      </c>
      <c r="C669" s="6">
        <v>4211</v>
      </c>
      <c r="D669" s="6">
        <v>17947.45</v>
      </c>
    </row>
    <row r="670" spans="2:4">
      <c r="B670" s="4" t="str">
        <f>"MUENCHENER RUECKVE NPV(REGD)"</f>
        <v>MUENCHENER RUECKVE NPV(REGD)</v>
      </c>
      <c r="C670" s="6">
        <v>1079</v>
      </c>
      <c r="D670" s="6">
        <v>209726.39</v>
      </c>
    </row>
    <row r="671" spans="2:4">
      <c r="B671" s="4" t="str">
        <f>"MURATA MFG CO NPV"</f>
        <v>MURATA MFG CO NPV</v>
      </c>
      <c r="C671" s="6">
        <v>1200</v>
      </c>
      <c r="D671" s="6">
        <v>71092.039999999994</v>
      </c>
    </row>
    <row r="672" spans="2:4">
      <c r="B672" s="4" t="str">
        <f>"MURPHY OIL CORP COM USD1"</f>
        <v>MURPHY OIL CORP COM USD1</v>
      </c>
      <c r="C672" s="6">
        <v>1171</v>
      </c>
      <c r="D672" s="6">
        <v>18284.900000000001</v>
      </c>
    </row>
    <row r="673" spans="2:4">
      <c r="B673" s="4" t="str">
        <f>"NATIONAL GRID ORD GBP0.12431289"</f>
        <v>NATIONAL GRID ORD GBP0.12431289</v>
      </c>
      <c r="C673" s="6">
        <v>22629</v>
      </c>
      <c r="D673" s="6">
        <v>217178.38999999998</v>
      </c>
    </row>
    <row r="674" spans="2:4">
      <c r="B674" s="4" t="str">
        <f>"NATL AUSTRALIA BK NPV"</f>
        <v>NATL AUSTRALIA BK NPV</v>
      </c>
      <c r="C674" s="6">
        <v>12387</v>
      </c>
      <c r="D674" s="6">
        <v>169809.27</v>
      </c>
    </row>
    <row r="675" spans="2:4">
      <c r="B675" s="4" t="str">
        <f>"NATL BK OF CANADA COM NPV"</f>
        <v>NATL BK OF CANADA COM NPV</v>
      </c>
      <c r="C675" s="6">
        <v>1385</v>
      </c>
      <c r="D675" s="6">
        <v>76623.55</v>
      </c>
    </row>
    <row r="676" spans="2:4">
      <c r="B676" s="4" t="str">
        <f>"NATURGY ENERGY GRO EUR1"</f>
        <v>NATURGY ENERGY GRO EUR1</v>
      </c>
      <c r="C676" s="6">
        <v>2289</v>
      </c>
      <c r="D676" s="6">
        <v>42539.3</v>
      </c>
    </row>
    <row r="677" spans="2:4">
      <c r="B677" s="4" t="str">
        <f>"NATWEST GROUP PLC ORD GBP1"</f>
        <v>NATWEST GROUP PLC ORD GBP1</v>
      </c>
      <c r="C677" s="6">
        <v>32723</v>
      </c>
      <c r="D677" s="6">
        <v>66231.350000000006</v>
      </c>
    </row>
    <row r="678" spans="2:4">
      <c r="B678" s="4" t="s">
        <v>40</v>
      </c>
      <c r="C678" s="6">
        <v>583319</v>
      </c>
      <c r="D678" s="6">
        <v>1180637.6599999999</v>
      </c>
    </row>
    <row r="679" spans="2:4">
      <c r="B679" s="4" t="str">
        <f>"NAVIENT CORP COM USD0.01"</f>
        <v>NAVIENT CORP COM USD0.01</v>
      </c>
      <c r="C679" s="6">
        <v>1968</v>
      </c>
      <c r="D679" s="6">
        <v>28918.07</v>
      </c>
    </row>
    <row r="680" spans="2:4">
      <c r="B680" s="4" t="str">
        <f>"NEC CORP NPV"</f>
        <v>NEC CORP NPV</v>
      </c>
      <c r="C680" s="6">
        <v>1600</v>
      </c>
      <c r="D680" s="6">
        <v>58089.96</v>
      </c>
    </row>
    <row r="681" spans="2:4">
      <c r="B681" s="4" t="str">
        <f>"NESTE OIL OYJ NPV"</f>
        <v>NESTE OIL OYJ NPV</v>
      </c>
      <c r="C681" s="6">
        <v>505</v>
      </c>
      <c r="D681" s="6">
        <v>22319.07</v>
      </c>
    </row>
    <row r="682" spans="2:4">
      <c r="B682" s="4" t="str">
        <f>"NESTLE SA CHF0.10(REGD)"</f>
        <v>NESTLE SA CHF0.10(REGD)</v>
      </c>
      <c r="C682" s="6">
        <v>7710</v>
      </c>
      <c r="D682" s="6">
        <v>702425.3</v>
      </c>
    </row>
    <row r="683" spans="2:4">
      <c r="B683" s="4" t="str">
        <f>"NETAPP INC COM USD0.001"</f>
        <v>NETAPP INC COM USD0.001</v>
      </c>
      <c r="C683" s="6">
        <v>640</v>
      </c>
      <c r="D683" s="6">
        <v>36636.53</v>
      </c>
    </row>
    <row r="684" spans="2:4">
      <c r="B684" s="4" t="str">
        <f>"NETFLIX INC COM USD0.001"</f>
        <v>NETFLIX INC COM USD0.001</v>
      </c>
      <c r="C684" s="6">
        <v>134</v>
      </c>
      <c r="D684" s="6">
        <v>49882.68</v>
      </c>
    </row>
    <row r="685" spans="2:4">
      <c r="B685" s="4" t="str">
        <f>"NEW RESIDENTIAL IN COM NPV (POST REV SPLIT)"</f>
        <v>NEW RESIDENTIAL IN COM NPV (POST REV SPLIT)</v>
      </c>
      <c r="C685" s="6">
        <v>5242</v>
      </c>
      <c r="D685" s="6">
        <v>36797.870000000003</v>
      </c>
    </row>
    <row r="686" spans="2:4">
      <c r="B686" s="4" t="str">
        <f>"NEW WORLD DEVEL CO NPV POST CON"</f>
        <v>NEW WORLD DEVEL CO NPV POST CON</v>
      </c>
      <c r="C686" s="6">
        <v>9923</v>
      </c>
      <c r="D686" s="6">
        <v>33842.949999999997</v>
      </c>
    </row>
    <row r="687" spans="2:4">
      <c r="B687" s="4" t="str">
        <f>"NEW YORK CMNTY BANCORP INC COM"</f>
        <v>NEW YORK CMNTY BANCORP INC COM</v>
      </c>
      <c r="C687" s="6">
        <v>4090</v>
      </c>
      <c r="D687" s="6">
        <v>34653.29</v>
      </c>
    </row>
    <row r="688" spans="2:4">
      <c r="B688" s="4" t="str">
        <f>"NEWCREST MINING NPV"</f>
        <v>NEWCREST MINING NPV</v>
      </c>
      <c r="C688" s="6">
        <v>1608</v>
      </c>
      <c r="D688" s="6">
        <v>22519.599999999999</v>
      </c>
    </row>
    <row r="689" spans="2:4">
      <c r="B689" s="4" t="str">
        <f>"NEWELL BRANDS INC COM USD1"</f>
        <v>NEWELL BRANDS INC COM USD1</v>
      </c>
      <c r="C689" s="6">
        <v>2058</v>
      </c>
      <c r="D689" s="6">
        <v>36635.019999999997</v>
      </c>
    </row>
    <row r="690" spans="2:4">
      <c r="B690" s="4" t="str">
        <f>"NEWMONT CORPORATIO COM USD1.60"</f>
        <v>NEWMONT CORPORATIO COM USD1.60</v>
      </c>
      <c r="C690" s="6">
        <v>1635</v>
      </c>
      <c r="D690" s="6">
        <v>73873.990000000005</v>
      </c>
    </row>
    <row r="691" spans="2:4">
      <c r="B691" s="4" t="str">
        <f>"NEWS CORP NEW COM USD0.01 CL'A'"</f>
        <v>NEWS CORP NEW COM USD0.01 CL'A'</v>
      </c>
      <c r="C691" s="6">
        <v>2416</v>
      </c>
      <c r="D691" s="6">
        <v>42799.35</v>
      </c>
    </row>
    <row r="692" spans="2:4">
      <c r="B692" s="4" t="str">
        <f>"NEWS CORP NEW COM USD0.01 CL'B'"</f>
        <v>NEWS CORP NEW COM USD0.01 CL'B'</v>
      </c>
      <c r="C692" s="6">
        <v>910</v>
      </c>
      <c r="D692" s="6">
        <v>15387.56</v>
      </c>
    </row>
    <row r="693" spans="2:4">
      <c r="B693" s="4" t="str">
        <f>"NEXT ORD GBP0.10"</f>
        <v>NEXT ORD GBP0.10</v>
      </c>
      <c r="C693" s="6">
        <v>606</v>
      </c>
      <c r="D693" s="6">
        <v>47764.92</v>
      </c>
    </row>
    <row r="694" spans="2:4">
      <c r="B694" s="4" t="str">
        <f>"NEXTERA ENERGY INC COM USD0.01"</f>
        <v>NEXTERA ENERGY INC COM USD0.01</v>
      </c>
      <c r="C694" s="6">
        <v>4357</v>
      </c>
      <c r="D694" s="6">
        <v>244118.6</v>
      </c>
    </row>
    <row r="695" spans="2:4">
      <c r="B695" s="4" t="str">
        <f>"NIDEC CORPORATION NPV"</f>
        <v>NIDEC CORPORATION NPV</v>
      </c>
      <c r="C695" s="6">
        <v>600</v>
      </c>
      <c r="D695" s="6">
        <v>48128.69</v>
      </c>
    </row>
    <row r="696" spans="2:4">
      <c r="B696" s="4" t="str">
        <f>"NIELSEN HLDGS PLC COM EUR0.07"</f>
        <v>NIELSEN HLDGS PLC COM EUR0.07</v>
      </c>
      <c r="C696" s="6">
        <v>2889</v>
      </c>
      <c r="D696" s="6">
        <v>49225.31</v>
      </c>
    </row>
    <row r="697" spans="2:4">
      <c r="B697" s="4" t="str">
        <f>"NIKE INC CLASS'B'COM NPV"</f>
        <v>NIKE INC CLASS'B'COM NPV</v>
      </c>
      <c r="C697" s="6">
        <v>1259</v>
      </c>
      <c r="D697" s="6">
        <v>151684.89000000001</v>
      </c>
    </row>
    <row r="698" spans="2:4">
      <c r="B698" s="4" t="str">
        <f>"NINTENDO CO LTD NPV"</f>
        <v>NINTENDO CO LTD NPV</v>
      </c>
      <c r="C698" s="6">
        <v>100</v>
      </c>
      <c r="D698" s="6">
        <v>36961.57</v>
      </c>
    </row>
    <row r="699" spans="2:4">
      <c r="B699" s="4" t="str">
        <f>"NIPPON STEEL CORP NPV"</f>
        <v>NIPPON STEEL CORP NPV</v>
      </c>
      <c r="C699" s="6">
        <v>6800</v>
      </c>
      <c r="D699" s="6">
        <v>84314.33</v>
      </c>
    </row>
    <row r="700" spans="2:4">
      <c r="B700" s="4" t="str">
        <f>"NIPPON TEL&amp;TEL CP NPV"</f>
        <v>NIPPON TEL&amp;TEL CP NPV</v>
      </c>
      <c r="C700" s="6">
        <v>9600</v>
      </c>
      <c r="D700" s="6">
        <v>176314.56</v>
      </c>
    </row>
    <row r="701" spans="2:4">
      <c r="B701" s="4" t="str">
        <f>"NIPPON YUSEN KK NPV"</f>
        <v>NIPPON YUSEN KK NPV</v>
      </c>
      <c r="C701" s="6">
        <v>1800</v>
      </c>
      <c r="D701" s="6">
        <v>69361.929999999993</v>
      </c>
    </row>
    <row r="702" spans="2:4">
      <c r="B702" s="4" t="str">
        <f>"NISOURCE INC COM NPV"</f>
        <v>NISOURCE INC COM NPV</v>
      </c>
      <c r="C702" s="6">
        <v>1413</v>
      </c>
      <c r="D702" s="6">
        <v>25363.57</v>
      </c>
    </row>
    <row r="703" spans="2:4">
      <c r="B703" s="4" t="str">
        <f>"NISSAN MOTOR CO NPV"</f>
        <v>NISSAN MOTOR CO NPV</v>
      </c>
      <c r="C703" s="6">
        <v>27200</v>
      </c>
      <c r="D703" s="6">
        <v>112460.69</v>
      </c>
    </row>
    <row r="704" spans="2:4">
      <c r="B704" s="4" t="str">
        <f>"NITTO DENKO CORP NPV"</f>
        <v>NITTO DENKO CORP NPV</v>
      </c>
      <c r="C704" s="6">
        <v>800</v>
      </c>
      <c r="D704" s="6">
        <v>42466.49</v>
      </c>
    </row>
    <row r="705" spans="2:4">
      <c r="B705" s="4" t="str">
        <f>"NN GROUP N.V. EUR0.12"</f>
        <v>NN GROUP N.V. EUR0.12</v>
      </c>
      <c r="C705" s="6">
        <v>2683</v>
      </c>
      <c r="D705" s="6">
        <v>95947.32</v>
      </c>
    </row>
    <row r="706" spans="2:4">
      <c r="B706" s="4" t="str">
        <f>"NOBLE GROUP HKD2.5 (POST CONS)"</f>
        <v>NOBLE GROUP HKD2.5 (POST CONS)</v>
      </c>
      <c r="C706" s="6">
        <v>23300</v>
      </c>
      <c r="D706" s="6">
        <v>0.12</v>
      </c>
    </row>
    <row r="707" spans="2:4">
      <c r="B707" s="4" t="str">
        <f>"NOBLE GROUP LTD-DUMMY LINE"</f>
        <v>NOBLE GROUP LTD-DUMMY LINE</v>
      </c>
      <c r="C707" s="6">
        <v>2330</v>
      </c>
      <c r="D707" s="6">
        <v>0.01</v>
      </c>
    </row>
    <row r="708" spans="2:4">
      <c r="B708" s="4" t="str">
        <f>"NOKIA OYJ NPV"</f>
        <v>NOKIA OYJ NPV</v>
      </c>
      <c r="C708" s="6">
        <v>33784</v>
      </c>
      <c r="D708" s="6">
        <v>148995.41</v>
      </c>
    </row>
    <row r="709" spans="2:4">
      <c r="B709" s="4" t="str">
        <f>"NOMURA HOLDINGS NPV"</f>
        <v>NOMURA HOLDINGS NPV</v>
      </c>
      <c r="C709" s="6">
        <v>19400</v>
      </c>
      <c r="D709" s="6">
        <v>69683.97</v>
      </c>
    </row>
    <row r="710" spans="2:4">
      <c r="B710" s="4" t="str">
        <f>"NORDEA HOLDING ABP NPV"</f>
        <v>NORDEA HOLDING ABP NPV</v>
      </c>
      <c r="C710" s="6">
        <v>4135</v>
      </c>
      <c r="D710" s="6">
        <v>34876.839999999997</v>
      </c>
    </row>
    <row r="711" spans="2:4">
      <c r="B711" s="4" t="str">
        <f>"NORDEA HOLDING ABP NPV"</f>
        <v>NORDEA HOLDING ABP NPV</v>
      </c>
      <c r="C711" s="6">
        <v>22906</v>
      </c>
      <c r="D711" s="6">
        <v>193406.81</v>
      </c>
    </row>
    <row r="712" spans="2:4">
      <c r="B712" s="4" t="str">
        <f>"NORDSTROM INC COM NPV"</f>
        <v>NORDSTROM INC COM NPV</v>
      </c>
      <c r="C712" s="6">
        <v>2134</v>
      </c>
      <c r="D712" s="6">
        <v>50804.04</v>
      </c>
    </row>
    <row r="713" spans="2:4">
      <c r="B713" s="4" t="str">
        <f>"NORFOLK STHN CORP COM USD1"</f>
        <v>NORFOLK STHN CORP COM USD1</v>
      </c>
      <c r="C713" s="6">
        <v>702</v>
      </c>
      <c r="D713" s="6">
        <v>130180.65</v>
      </c>
    </row>
    <row r="714" spans="2:4">
      <c r="B714" s="4" t="str">
        <f>"NORSK HYDRO ASA NOK3.6666"</f>
        <v>NORSK HYDRO ASA NOK3.6666</v>
      </c>
      <c r="C714" s="6">
        <v>13644</v>
      </c>
      <c r="D714" s="6">
        <v>65290.2</v>
      </c>
    </row>
    <row r="715" spans="2:4">
      <c r="B715" s="4" t="str">
        <f>"NORTHERN TRUST CP COM USD1.666"</f>
        <v>NORTHERN TRUST CP COM USD1.666</v>
      </c>
      <c r="C715" s="6">
        <v>637</v>
      </c>
      <c r="D715" s="6">
        <v>51703.13</v>
      </c>
    </row>
    <row r="716" spans="2:4">
      <c r="B716" s="4" t="str">
        <f>"NORTHROP GRUMMAN COM USD1"</f>
        <v>NORTHROP GRUMMAN COM USD1</v>
      </c>
      <c r="C716" s="6">
        <v>427</v>
      </c>
      <c r="D716" s="6">
        <v>111489.58</v>
      </c>
    </row>
    <row r="717" spans="2:4">
      <c r="B717" s="4" t="str">
        <f>"NORTONLIFELOCK INC COM USD0.01"</f>
        <v>NORTONLIFELOCK INC COM USD0.01</v>
      </c>
      <c r="C717" s="6">
        <v>3219</v>
      </c>
      <c r="D717" s="6">
        <v>57464.37</v>
      </c>
    </row>
    <row r="718" spans="2:4">
      <c r="B718" s="4" t="str">
        <f>"NORWEGIAN CRUISE L COM USD0.001"</f>
        <v>NORWEGIAN CRUISE L COM USD0.001</v>
      </c>
      <c r="C718" s="6">
        <v>2200</v>
      </c>
      <c r="D718" s="6">
        <v>38023.519999999997</v>
      </c>
    </row>
    <row r="719" spans="2:4">
      <c r="B719" s="4" t="str">
        <f>"NOV INC COM USD0.01"</f>
        <v>NOV INC COM USD0.01</v>
      </c>
      <c r="C719" s="6">
        <v>5038</v>
      </c>
      <c r="D719" s="6">
        <v>50041.2</v>
      </c>
    </row>
    <row r="720" spans="2:4">
      <c r="B720" s="4" t="str">
        <f>"NOVARTIS AG CHF0.50(REGD)"</f>
        <v>NOVARTIS AG CHF0.50(REGD)</v>
      </c>
      <c r="C720" s="6">
        <v>6288</v>
      </c>
      <c r="D720" s="6">
        <v>418576.49</v>
      </c>
    </row>
    <row r="721" spans="2:4">
      <c r="B721" s="4" t="str">
        <f>"NOVO-NORDISK AS DKK0.2 SER'B'"</f>
        <v>NOVO-NORDISK AS DKK0.2 SER'B'</v>
      </c>
      <c r="C721" s="6">
        <v>2941</v>
      </c>
      <c r="D721" s="6">
        <v>195582.73</v>
      </c>
    </row>
    <row r="722" spans="2:4">
      <c r="B722" s="4" t="str">
        <f>"NSK LTD NPV"</f>
        <v>NSK LTD NPV</v>
      </c>
      <c r="C722" s="6">
        <v>2200</v>
      </c>
      <c r="D722" s="6">
        <v>12961.45</v>
      </c>
    </row>
    <row r="723" spans="2:4">
      <c r="B723" s="4" t="str">
        <f>"NTT DATA CORP NPV"</f>
        <v>NTT DATA CORP NPV</v>
      </c>
      <c r="C723" s="6">
        <v>2200</v>
      </c>
      <c r="D723" s="6">
        <v>24380.22</v>
      </c>
    </row>
    <row r="724" spans="2:4">
      <c r="B724" s="4" t="str">
        <f>"NUCOR CORP COM"</f>
        <v>NUCOR CORP COM</v>
      </c>
      <c r="C724" s="6">
        <v>1980</v>
      </c>
      <c r="D724" s="6">
        <v>148625.31</v>
      </c>
    </row>
    <row r="725" spans="2:4">
      <c r="B725" s="4" t="str">
        <f>"NUTRIEN LTD NPV"</f>
        <v>NUTRIEN LTD NPV</v>
      </c>
      <c r="C725" s="6">
        <v>2597</v>
      </c>
      <c r="D725" s="6">
        <v>110993.69</v>
      </c>
    </row>
    <row r="726" spans="2:4">
      <c r="B726" s="4" t="str">
        <f>"NVIDIA CORP COM USD0.001"</f>
        <v>NVIDIA CORP COM USD0.001</v>
      </c>
      <c r="C726" s="6">
        <v>584</v>
      </c>
      <c r="D726" s="6">
        <v>81903.23</v>
      </c>
    </row>
    <row r="727" spans="2:4">
      <c r="B727" s="4" t="str">
        <f>"NXP SEMICONDUCTORS EUR0.20"</f>
        <v>NXP SEMICONDUCTORS EUR0.20</v>
      </c>
      <c r="C727" s="6">
        <v>544</v>
      </c>
      <c r="D727" s="6">
        <v>80753.88</v>
      </c>
    </row>
    <row r="728" spans="2:4">
      <c r="B728" s="4" t="str">
        <f>"OBAYASHI CORP NPV"</f>
        <v>OBAYASHI CORP NPV</v>
      </c>
      <c r="C728" s="6">
        <v>3600</v>
      </c>
      <c r="D728" s="6">
        <v>21020.91</v>
      </c>
    </row>
    <row r="729" spans="2:4">
      <c r="B729" s="4" t="str">
        <f>"OCCIDENTAL PETRLM COM USD0.20"</f>
        <v>OCCIDENTAL PETRLM COM USD0.20</v>
      </c>
      <c r="C729" s="6">
        <v>7307</v>
      </c>
      <c r="D729" s="6">
        <v>137168.84</v>
      </c>
    </row>
    <row r="730" spans="2:4">
      <c r="B730" s="4" t="str">
        <f>"OGE ENERGY CORP COM USD0.01"</f>
        <v>OGE ENERGY CORP COM USD0.01</v>
      </c>
      <c r="C730" s="6">
        <v>621</v>
      </c>
      <c r="D730" s="6">
        <v>15074.44</v>
      </c>
    </row>
    <row r="731" spans="2:4">
      <c r="B731" s="4" t="str">
        <f>"OLD REP INTL CORP COM"</f>
        <v>OLD REP INTL CORP COM</v>
      </c>
      <c r="C731" s="6">
        <v>1460</v>
      </c>
      <c r="D731" s="6">
        <v>25895.35</v>
      </c>
    </row>
    <row r="732" spans="2:4">
      <c r="B732" s="4" t="str">
        <f>"OMNICOM GROUP INC COM USD0.15"</f>
        <v>OMNICOM GROUP INC COM USD0.15</v>
      </c>
      <c r="C732" s="6">
        <v>1130</v>
      </c>
      <c r="D732" s="6">
        <v>59184.09</v>
      </c>
    </row>
    <row r="733" spans="2:4">
      <c r="B733" s="4" t="str">
        <f>"OMRON CORP NPV"</f>
        <v>OMRON CORP NPV</v>
      </c>
      <c r="C733" s="6">
        <v>400</v>
      </c>
      <c r="D733" s="6">
        <v>24431.34</v>
      </c>
    </row>
    <row r="734" spans="2:4">
      <c r="B734" s="4" t="str">
        <f>"OMV AG NPV(VAR)"</f>
        <v>OMV AG NPV(VAR)</v>
      </c>
      <c r="C734" s="6">
        <v>859</v>
      </c>
      <c r="D734" s="6">
        <v>33348.99</v>
      </c>
    </row>
    <row r="735" spans="2:4">
      <c r="B735" s="4" t="str">
        <f>"ON SEMICONDUCTOR COM USD0.01"</f>
        <v>ON SEMICONDUCTOR COM USD0.01</v>
      </c>
      <c r="C735" s="6">
        <v>456</v>
      </c>
      <c r="D735" s="6">
        <v>12810.7</v>
      </c>
    </row>
    <row r="736" spans="2:4">
      <c r="B736" s="4" t="str">
        <f>"ONEOK INC"</f>
        <v>ONEOK INC</v>
      </c>
      <c r="C736" s="6">
        <v>2343</v>
      </c>
      <c r="D736" s="6">
        <v>88918.48</v>
      </c>
    </row>
    <row r="737" spans="2:4">
      <c r="B737" s="4" t="str">
        <f>"ORACLE CORP COM USD0.01"</f>
        <v>ORACLE CORP COM USD0.01</v>
      </c>
      <c r="C737" s="6">
        <v>4613</v>
      </c>
      <c r="D737" s="6">
        <v>289119.15999999997</v>
      </c>
    </row>
    <row r="738" spans="2:4">
      <c r="B738" s="4" t="str">
        <f>"ORANGE EUR4"</f>
        <v>ORANGE EUR4</v>
      </c>
      <c r="C738" s="6">
        <v>18505</v>
      </c>
      <c r="D738" s="6">
        <v>148276.79999999999</v>
      </c>
    </row>
    <row r="739" spans="2:4">
      <c r="B739" s="4" t="str">
        <f>"OREILLY AUTO NEW COM USD0.01"</f>
        <v>OREILLY AUTO NEW COM USD0.01</v>
      </c>
      <c r="C739" s="6">
        <v>102</v>
      </c>
      <c r="D739" s="6">
        <v>44299.41</v>
      </c>
    </row>
    <row r="740" spans="2:4">
      <c r="B740" s="4" t="str">
        <f>"ORGANON &amp; CO COM USD0.01 WI"</f>
        <v>ORGANON &amp; CO COM USD0.01 WI</v>
      </c>
      <c r="C740" s="6">
        <v>681</v>
      </c>
      <c r="D740" s="6">
        <v>14209.24</v>
      </c>
    </row>
    <row r="741" spans="2:4">
      <c r="B741" s="4" t="s">
        <v>23</v>
      </c>
      <c r="C741" s="6">
        <v>1356</v>
      </c>
      <c r="D741" s="6">
        <v>28293.279999999999</v>
      </c>
    </row>
    <row r="742" spans="2:4">
      <c r="B742" s="4" t="str">
        <f>"ORIGIN ENERGY NPV"</f>
        <v>ORIGIN ENERGY NPV</v>
      </c>
      <c r="C742" s="6">
        <v>11140</v>
      </c>
      <c r="D742" s="6">
        <v>24205.82</v>
      </c>
    </row>
    <row r="743" spans="2:4">
      <c r="B743" s="4" t="str">
        <f>"ORIX CORP NPV"</f>
        <v>ORIX CORP NPV</v>
      </c>
      <c r="C743" s="6">
        <v>8500</v>
      </c>
      <c r="D743" s="6">
        <v>106507</v>
      </c>
    </row>
    <row r="744" spans="2:4">
      <c r="B744" s="4" t="str">
        <f>"ORSTED A/S DKK10"</f>
        <v>ORSTED A/S DKK10</v>
      </c>
      <c r="C744" s="6">
        <v>246</v>
      </c>
      <c r="D744" s="6">
        <v>26271.13</v>
      </c>
    </row>
    <row r="745" spans="2:4">
      <c r="B745" s="4" t="str">
        <f>"OSAKA GAS CO NPV"</f>
        <v>OSAKA GAS CO NPV</v>
      </c>
      <c r="C745" s="6">
        <v>2200</v>
      </c>
      <c r="D745" s="6">
        <v>29570.57</v>
      </c>
    </row>
    <row r="746" spans="2:4">
      <c r="B746" s="4" t="str">
        <f>"OTIS WORLDWIDE COR COM USD0.01"</f>
        <v>OTIS WORLDWIDE COR COM USD0.01</v>
      </c>
      <c r="C746" s="6">
        <v>1213</v>
      </c>
      <c r="D746" s="6">
        <v>78127.199999999997</v>
      </c>
    </row>
    <row r="747" spans="2:4">
      <c r="B747" s="4" t="str">
        <f>"OTSUKA HLDGS CO NPV"</f>
        <v>OTSUKA HLDGS CO NPV</v>
      </c>
      <c r="C747" s="6">
        <v>1600</v>
      </c>
      <c r="D747" s="6">
        <v>45930.310000000005</v>
      </c>
    </row>
    <row r="748" spans="2:4">
      <c r="B748" s="4" t="str">
        <f>"OVERSEA-CHINESE BK NPV"</f>
        <v>OVERSEA-CHINESE BK NPV</v>
      </c>
      <c r="C748" s="6">
        <v>10750</v>
      </c>
      <c r="D748" s="6">
        <v>70232.59</v>
      </c>
    </row>
    <row r="749" spans="2:4">
      <c r="B749" s="4" t="str">
        <f>"OWENS CORNING COM STK USD0.01"</f>
        <v>OWENS CORNING COM STK USD0.01</v>
      </c>
      <c r="C749" s="6">
        <v>280</v>
      </c>
      <c r="D749" s="6">
        <v>19409.989999999998</v>
      </c>
    </row>
    <row r="750" spans="2:4">
      <c r="B750" s="4" t="str">
        <f>"PACCAR INC COM STK USD1"</f>
        <v>PACCAR INC COM STK USD1</v>
      </c>
      <c r="C750" s="6">
        <v>1453</v>
      </c>
      <c r="D750" s="6">
        <v>86729.58</v>
      </c>
    </row>
    <row r="751" spans="2:4">
      <c r="B751" s="4" t="str">
        <f>"PACKAGING CORP AMER COM"</f>
        <v>PACKAGING CORP AMER COM</v>
      </c>
      <c r="C751" s="6">
        <v>313</v>
      </c>
      <c r="D751" s="6">
        <v>31854.93</v>
      </c>
    </row>
    <row r="752" spans="2:4">
      <c r="B752" s="4" t="str">
        <f>"PACWEST BANCORP COM NPV"</f>
        <v>PACWEST BANCORP COM NPV</v>
      </c>
      <c r="C752" s="6">
        <v>387</v>
      </c>
      <c r="D752" s="6">
        <v>11083.78</v>
      </c>
    </row>
    <row r="753" spans="2:4">
      <c r="B753" s="4" t="str">
        <f>"PANASONIC CORP NPV"</f>
        <v>PANASONIC CORP NPV</v>
      </c>
      <c r="C753" s="6">
        <v>14000</v>
      </c>
      <c r="D753" s="6">
        <v>119777.78</v>
      </c>
    </row>
    <row r="754" spans="2:4">
      <c r="B754" s="4" t="str">
        <f>"PANDORA A/S DKK1"</f>
        <v>PANDORA A/S DKK1</v>
      </c>
      <c r="C754" s="6">
        <v>123</v>
      </c>
      <c r="D754" s="6">
        <v>11451.67</v>
      </c>
    </row>
    <row r="755" spans="2:4">
      <c r="B755" s="4" t="str">
        <f>"PARK HOTELS &amp; RESO COM USD0.01 WI"</f>
        <v>PARK HOTELS &amp; RESO COM USD0.01 WI</v>
      </c>
      <c r="C755" s="6">
        <v>2845</v>
      </c>
      <c r="D755" s="6">
        <v>37855.58</v>
      </c>
    </row>
    <row r="756" spans="2:4">
      <c r="B756" s="4" t="str">
        <f>"PARKER-HANNIFIN COM STK USD0.50"</f>
        <v>PARKER-HANNIFIN COM STK USD0.50</v>
      </c>
      <c r="C756" s="6">
        <v>394</v>
      </c>
      <c r="D756" s="6">
        <v>88423.65</v>
      </c>
    </row>
    <row r="757" spans="2:4">
      <c r="B757" s="4" t="str">
        <f>"PAYCHEX INC COM"</f>
        <v>PAYCHEX INC COM</v>
      </c>
      <c r="C757" s="6">
        <v>752</v>
      </c>
      <c r="D757" s="6">
        <v>61865.37</v>
      </c>
    </row>
    <row r="758" spans="2:4">
      <c r="B758" s="4" t="str">
        <f>"PAYPAL HOLDINGS IN COM USD0.0001"</f>
        <v>PAYPAL HOLDINGS IN COM USD0.0001</v>
      </c>
      <c r="C758" s="6">
        <v>588</v>
      </c>
      <c r="D758" s="6">
        <v>116525.8</v>
      </c>
    </row>
    <row r="759" spans="2:4">
      <c r="B759" s="4" t="str">
        <f>"PBF ENERGY INC COM USD0.001"</f>
        <v>PBF ENERGY INC COM USD0.001</v>
      </c>
      <c r="C759" s="6">
        <v>3133</v>
      </c>
      <c r="D759" s="6">
        <v>20663.580000000002</v>
      </c>
    </row>
    <row r="760" spans="2:4">
      <c r="B760" s="4" t="str">
        <f>"PEARSON ORD GBP0.25"</f>
        <v>PEARSON ORD GBP0.25</v>
      </c>
      <c r="C760" s="6">
        <v>5826</v>
      </c>
      <c r="D760" s="6">
        <v>50651.24</v>
      </c>
    </row>
    <row r="761" spans="2:4">
      <c r="B761" s="4" t="s">
        <v>30</v>
      </c>
      <c r="C761" s="6">
        <v>153601</v>
      </c>
      <c r="D761" s="6">
        <v>1335407.0900000001</v>
      </c>
    </row>
    <row r="762" spans="2:4">
      <c r="B762" s="4" t="str">
        <f>"PEMBINA PIPELINE C COM NPV"</f>
        <v>PEMBINA PIPELINE C COM NPV</v>
      </c>
      <c r="C762" s="6">
        <v>3058</v>
      </c>
      <c r="D762" s="6">
        <v>72937.53</v>
      </c>
    </row>
    <row r="763" spans="2:4">
      <c r="B763" s="4" t="str">
        <f>"PEOPLE'S UNITED FINANCIAL INC COM STK USD0.01"</f>
        <v>PEOPLE'S UNITED FINANCIAL INC COM STK USD0.01</v>
      </c>
      <c r="C763" s="6">
        <v>894</v>
      </c>
      <c r="D763" s="6">
        <v>10194.91</v>
      </c>
    </row>
    <row r="764" spans="2:4">
      <c r="B764" s="4" t="str">
        <f>"PEPSICO INC CAP USD0.016666"</f>
        <v>PEPSICO INC CAP USD0.016666</v>
      </c>
      <c r="C764" s="6">
        <v>4064</v>
      </c>
      <c r="D764" s="6">
        <v>458765.63</v>
      </c>
    </row>
    <row r="765" spans="2:4">
      <c r="B765" s="4" t="str">
        <f>"PERFORMANCE FOOD G COM USD0.01"</f>
        <v>PERFORMANCE FOOD G COM USD0.01</v>
      </c>
      <c r="C765" s="6">
        <v>777</v>
      </c>
      <c r="D765" s="6">
        <v>25606.6</v>
      </c>
    </row>
    <row r="766" spans="2:4">
      <c r="B766" s="4" t="str">
        <f>"PERNOD RICARD EUR1.55"</f>
        <v>PERNOD RICARD EUR1.55</v>
      </c>
      <c r="C766" s="6">
        <v>459</v>
      </c>
      <c r="D766" s="6">
        <v>72852.820000000007</v>
      </c>
    </row>
    <row r="767" spans="2:4">
      <c r="B767" s="4" t="str">
        <f>"PERSIMMON ORD GBP0.10"</f>
        <v>PERSIMMON ORD GBP0.10</v>
      </c>
      <c r="C767" s="6">
        <v>1516</v>
      </c>
      <c r="D767" s="6">
        <v>45692.24</v>
      </c>
    </row>
    <row r="768" spans="2:4">
      <c r="B768" s="4" t="str">
        <f>"PFIZER INC COM USD0.05"</f>
        <v>PFIZER INC COM USD0.05</v>
      </c>
      <c r="C768" s="6">
        <v>23837</v>
      </c>
      <c r="D768" s="6">
        <v>739643.92999999993</v>
      </c>
    </row>
    <row r="769" spans="2:4">
      <c r="B769" s="4" t="s">
        <v>1</v>
      </c>
      <c r="C769" s="6">
        <v>52849</v>
      </c>
      <c r="D769" s="6">
        <v>1627263.42</v>
      </c>
    </row>
    <row r="770" spans="2:4">
      <c r="B770" s="4" t="str">
        <f>"PG&amp;E CORP COM"</f>
        <v>PG&amp;E CORP COM</v>
      </c>
      <c r="C770" s="6">
        <v>9951</v>
      </c>
      <c r="D770" s="6">
        <v>62911.71</v>
      </c>
    </row>
    <row r="771" spans="2:4">
      <c r="B771" s="4" t="str">
        <f>"PHILLIPS 66 COM USD0.01"</f>
        <v>PHILLIPS 66 COM USD0.01</v>
      </c>
      <c r="C771" s="6">
        <v>2536</v>
      </c>
      <c r="D771" s="6">
        <v>133936.4</v>
      </c>
    </row>
    <row r="772" spans="2:4">
      <c r="B772" s="4" t="str">
        <f>"PINNACLE WEST CAP CORP COM"</f>
        <v>PINNACLE WEST CAP CORP COM</v>
      </c>
      <c r="C772" s="6">
        <v>649</v>
      </c>
      <c r="D772" s="6">
        <v>39329.54</v>
      </c>
    </row>
    <row r="773" spans="2:4">
      <c r="B773" s="4" t="str">
        <f>"PIONEER NATURAL RE COM STK USD0.01"</f>
        <v>PIONEER NATURAL RE COM STK USD0.01</v>
      </c>
      <c r="C773" s="6">
        <v>320</v>
      </c>
      <c r="D773" s="6">
        <v>33458.050000000003</v>
      </c>
    </row>
    <row r="774" spans="2:4">
      <c r="B774" s="4" t="str">
        <f>"PKN ORLEN PLN1.25"</f>
        <v>PKN ORLEN PLN1.25</v>
      </c>
      <c r="C774" s="6">
        <v>1297</v>
      </c>
      <c r="D774" s="6">
        <v>18521.72</v>
      </c>
    </row>
    <row r="775" spans="2:4">
      <c r="B775" s="4" t="str">
        <f>"PNC FINANCIAL SVCS COM USD5"</f>
        <v>PNC FINANCIAL SVCS COM USD5</v>
      </c>
      <c r="C775" s="6">
        <v>1933</v>
      </c>
      <c r="D775" s="6">
        <v>255081.34</v>
      </c>
    </row>
    <row r="776" spans="2:4">
      <c r="B776" s="4" t="str">
        <f>"PORSCHE AUTO HL SE NON VTG PRF NPV"</f>
        <v>PORSCHE AUTO HL SE NON VTG PRF NPV</v>
      </c>
      <c r="C776" s="6">
        <v>696</v>
      </c>
      <c r="D776" s="6">
        <v>54184.14</v>
      </c>
    </row>
    <row r="777" spans="2:4">
      <c r="B777" s="4" t="str">
        <f>"POSCO KRW5000"</f>
        <v>POSCO KRW5000</v>
      </c>
      <c r="C777" s="6">
        <v>598</v>
      </c>
      <c r="D777" s="6">
        <v>137189.43999999997</v>
      </c>
    </row>
    <row r="778" spans="2:4">
      <c r="B778" s="4" t="str">
        <f>"POSTE ITALIANE SPA NPV"</f>
        <v>POSTE ITALIANE SPA NPV</v>
      </c>
      <c r="C778" s="6">
        <v>4916</v>
      </c>
      <c r="D778" s="6">
        <v>46833.04</v>
      </c>
    </row>
    <row r="779" spans="2:4">
      <c r="B779" s="4" t="str">
        <f>"POWER CORP CDA COM"</f>
        <v>POWER CORP CDA COM</v>
      </c>
      <c r="C779" s="6">
        <v>5350</v>
      </c>
      <c r="D779" s="6">
        <v>122742.38</v>
      </c>
    </row>
    <row r="780" spans="2:4">
      <c r="B780" s="4" t="str">
        <f>"POWSZECHNA KASA OS PLN1"</f>
        <v>POWSZECHNA KASA OS PLN1</v>
      </c>
      <c r="C780" s="6">
        <v>4525</v>
      </c>
      <c r="D780" s="6">
        <v>31988.25</v>
      </c>
    </row>
    <row r="781" spans="2:4">
      <c r="B781" s="4" t="str">
        <f>"PPG INDS INC COM"</f>
        <v>PPG INDS INC COM</v>
      </c>
      <c r="C781" s="6">
        <v>637</v>
      </c>
      <c r="D781" s="6">
        <v>74918</v>
      </c>
    </row>
    <row r="782" spans="2:4">
      <c r="B782" s="4" t="str">
        <f>"PPL CORP COM USD0.01"</f>
        <v>PPL CORP COM USD0.01</v>
      </c>
      <c r="C782" s="6">
        <v>4323</v>
      </c>
      <c r="D782" s="6">
        <v>88210.53</v>
      </c>
    </row>
    <row r="783" spans="2:4">
      <c r="B783" s="4" t="str">
        <f>"PRINCIPAL FINL GP COM USD0.01"</f>
        <v>PRINCIPAL FINL GP COM USD0.01</v>
      </c>
      <c r="C783" s="6">
        <v>1823</v>
      </c>
      <c r="D783" s="6">
        <v>81463.649999999994</v>
      </c>
    </row>
    <row r="784" spans="2:4">
      <c r="B784" s="4" t="str">
        <f>"PROCTER &amp; GAMBLE COM NPV"</f>
        <v>PROCTER &amp; GAMBLE COM NPV</v>
      </c>
      <c r="C784" s="6">
        <v>6344</v>
      </c>
      <c r="D784" s="6">
        <v>652351.87</v>
      </c>
    </row>
    <row r="785" spans="2:4">
      <c r="B785" s="4" t="str">
        <f>"PROGRESSIVE CP(OH) COM USD1"</f>
        <v>PROGRESSIVE CP(OH) COM USD1</v>
      </c>
      <c r="C785" s="6">
        <v>1564</v>
      </c>
      <c r="D785" s="6">
        <v>107045.16</v>
      </c>
    </row>
    <row r="786" spans="2:4">
      <c r="B786" s="4" t="str">
        <f>"PROLOGIS INC COM USD0.01"</f>
        <v>PROLOGIS INC COM USD0.01</v>
      </c>
      <c r="C786" s="6">
        <v>1166</v>
      </c>
      <c r="D786" s="6">
        <v>107379.18</v>
      </c>
    </row>
    <row r="787" spans="2:4">
      <c r="B787" s="4" t="str">
        <f>"PROSIEBENSAT1 MED. NPV"</f>
        <v>PROSIEBENSAT1 MED. NPV</v>
      </c>
      <c r="C787" s="6">
        <v>2182</v>
      </c>
      <c r="D787" s="6">
        <v>29859.45</v>
      </c>
    </row>
    <row r="788" spans="2:4">
      <c r="B788" s="4" t="s">
        <v>3</v>
      </c>
      <c r="C788" s="6">
        <v>274214</v>
      </c>
      <c r="D788" s="6">
        <v>777122.48</v>
      </c>
    </row>
    <row r="789" spans="2:4">
      <c r="B789" s="4" t="str">
        <f>"PRUDENTIAL FINL COM USD0.01"</f>
        <v>PRUDENTIAL FINL COM USD0.01</v>
      </c>
      <c r="C789" s="6">
        <v>3578</v>
      </c>
      <c r="D789" s="6">
        <v>258065.84</v>
      </c>
    </row>
    <row r="790" spans="2:4">
      <c r="B790" s="4" t="str">
        <f>"PRUDENTIAL ORD GBP0.05"</f>
        <v>PRUDENTIAL ORD GBP0.05</v>
      </c>
      <c r="C790" s="6">
        <v>13581</v>
      </c>
      <c r="D790" s="6">
        <v>184226.27</v>
      </c>
    </row>
    <row r="791" spans="2:4">
      <c r="B791" s="4" t="str">
        <f>"PUBLIC STORAGE COM USD0.10"</f>
        <v>PUBLIC STORAGE COM USD0.10</v>
      </c>
      <c r="C791" s="6">
        <v>213</v>
      </c>
      <c r="D791" s="6">
        <v>47871.57</v>
      </c>
    </row>
    <row r="792" spans="2:4">
      <c r="B792" s="4" t="str">
        <f>"PUBLIC SVC ENTERPRISE GROUP COM"</f>
        <v>PUBLIC SVC ENTERPRISE GROUP COM</v>
      </c>
      <c r="C792" s="6">
        <v>2261</v>
      </c>
      <c r="D792" s="6">
        <v>101199</v>
      </c>
    </row>
    <row r="793" spans="2:4">
      <c r="B793" s="4" t="str">
        <f>"PUBLICIS GROUPE SA EUR0.40"</f>
        <v>PUBLICIS GROUPE SA EUR0.40</v>
      </c>
      <c r="C793" s="6">
        <v>1512</v>
      </c>
      <c r="D793" s="6">
        <v>68629.990000000005</v>
      </c>
    </row>
    <row r="794" spans="2:4">
      <c r="B794" s="4" t="str">
        <f>"PULTE GROUP INC COM USD0.01"</f>
        <v>PULTE GROUP INC COM USD0.01</v>
      </c>
      <c r="C794" s="6">
        <v>730</v>
      </c>
      <c r="D794" s="6">
        <v>28809.360000000001</v>
      </c>
    </row>
    <row r="795" spans="2:4">
      <c r="B795" s="4" t="str">
        <f>"PVH CORP COM USD1"</f>
        <v>PVH CORP COM USD1</v>
      </c>
      <c r="C795" s="6">
        <v>463</v>
      </c>
      <c r="D795" s="6">
        <v>34839.47</v>
      </c>
    </row>
    <row r="796" spans="2:4">
      <c r="B796" s="4" t="str">
        <f>"PZU GR PLN1"</f>
        <v>PZU GR PLN1</v>
      </c>
      <c r="C796" s="6">
        <v>4804</v>
      </c>
      <c r="D796" s="6">
        <v>33745.17</v>
      </c>
    </row>
    <row r="797" spans="2:4">
      <c r="B797" s="4" t="str">
        <f>"QBE INS GROUP NPV"</f>
        <v>QBE INS GROUP NPV</v>
      </c>
      <c r="C797" s="6">
        <v>9677</v>
      </c>
      <c r="D797" s="6">
        <v>55713.62</v>
      </c>
    </row>
    <row r="798" spans="2:4">
      <c r="B798" s="4" t="s">
        <v>2</v>
      </c>
      <c r="C798" s="6">
        <v>231678</v>
      </c>
      <c r="D798" s="6">
        <v>762683.98</v>
      </c>
    </row>
    <row r="799" spans="2:4">
      <c r="B799" s="4" t="str">
        <f>"QUALCOMM INC COM USD0.0001"</f>
        <v>QUALCOMM INC COM USD0.0001</v>
      </c>
      <c r="C799" s="6">
        <v>2250</v>
      </c>
      <c r="D799" s="6">
        <v>242420.97</v>
      </c>
    </row>
    <row r="800" spans="2:4">
      <c r="B800" s="4" t="str">
        <f>"QUEST DIAGNOSTICS INC COM"</f>
        <v>QUEST DIAGNOSTICS INC COM</v>
      </c>
      <c r="C800" s="6">
        <v>447</v>
      </c>
      <c r="D800" s="6">
        <v>45588.95</v>
      </c>
    </row>
    <row r="801" spans="2:4">
      <c r="B801" s="4" t="str">
        <f>"QURATE RETAIL INC COM USD0.01 SERIES A"</f>
        <v>QURATE RETAIL INC COM USD0.01 SERIES A</v>
      </c>
      <c r="C801" s="6">
        <v>5406</v>
      </c>
      <c r="D801" s="6">
        <v>46114.400000000001</v>
      </c>
    </row>
    <row r="802" spans="2:4">
      <c r="B802" s="4" t="str">
        <f>"RANDSTAD N.V. EUR0.10"</f>
        <v>RANDSTAD N.V. EUR0.10</v>
      </c>
      <c r="C802" s="6">
        <v>868</v>
      </c>
      <c r="D802" s="6">
        <v>45276.67</v>
      </c>
    </row>
    <row r="803" spans="2:4">
      <c r="B803" s="4" t="str">
        <f>"RAYMOND JAMES FINANCIAL INC COM"</f>
        <v>RAYMOND JAMES FINANCIAL INC COM</v>
      </c>
      <c r="C803" s="6">
        <v>350</v>
      </c>
      <c r="D803" s="6">
        <v>32594.67</v>
      </c>
    </row>
    <row r="804" spans="2:4">
      <c r="B804" s="4" t="str">
        <f>"RAYTHEON TECHNOLOG COM USD1.00"</f>
        <v>RAYTHEON TECHNOLOG COM USD1.00</v>
      </c>
      <c r="C804" s="6">
        <v>3519</v>
      </c>
      <c r="D804" s="6">
        <v>220071.96</v>
      </c>
    </row>
    <row r="805" spans="2:4">
      <c r="B805" s="4" t="str">
        <f>"REALTY INCOME CORP"</f>
        <v>REALTY INCOME CORP</v>
      </c>
      <c r="C805" s="6">
        <v>975</v>
      </c>
      <c r="D805" s="6">
        <v>49407.33</v>
      </c>
    </row>
    <row r="806" spans="2:4">
      <c r="B806" s="4" t="str">
        <f>"RECKITT BENCK GRP ORD GBP0.10"</f>
        <v>RECKITT BENCK GRP ORD GBP0.10</v>
      </c>
      <c r="C806" s="6">
        <v>1810</v>
      </c>
      <c r="D806" s="6">
        <v>99966.3</v>
      </c>
    </row>
    <row r="807" spans="2:4">
      <c r="B807" s="4" t="str">
        <f>"RECRUIT HLDGS CO L NPV"</f>
        <v>RECRUIT HLDGS CO L NPV</v>
      </c>
      <c r="C807" s="6">
        <v>1400</v>
      </c>
      <c r="D807" s="6">
        <v>51645.279999999999</v>
      </c>
    </row>
    <row r="808" spans="2:4">
      <c r="B808" s="4" t="str">
        <f>"RED ELECTRICA CORP EUR0.5"</f>
        <v>RED ELECTRICA CORP EUR0.5</v>
      </c>
      <c r="C808" s="6">
        <v>1832</v>
      </c>
      <c r="D808" s="6">
        <v>26132.38</v>
      </c>
    </row>
    <row r="809" spans="2:4">
      <c r="B809" s="4" t="str">
        <f>"REGENCY CENTERS COM USD0.01"</f>
        <v>REGENCY CENTERS COM USD0.01</v>
      </c>
      <c r="C809" s="6">
        <v>275</v>
      </c>
      <c r="D809" s="6">
        <v>12937.57</v>
      </c>
    </row>
    <row r="810" spans="2:4">
      <c r="B810" s="4" t="str">
        <f>"REGENERON PHARMACE COM USD0.001"</f>
        <v>REGENERON PHARMACE COM USD0.001</v>
      </c>
      <c r="C810" s="6">
        <v>156</v>
      </c>
      <c r="D810" s="6">
        <v>64472.37</v>
      </c>
    </row>
    <row r="811" spans="2:4">
      <c r="B811" s="4" t="str">
        <f>"REGIONS FINANCIAL CORP NEW COM"</f>
        <v>REGIONS FINANCIAL CORP NEW COM</v>
      </c>
      <c r="C811" s="6">
        <v>6063</v>
      </c>
      <c r="D811" s="6">
        <v>83944.87</v>
      </c>
    </row>
    <row r="812" spans="2:4">
      <c r="B812" s="4" t="str">
        <f>"REINSURANCE GROUP COM USD0.01"</f>
        <v>REINSURANCE GROUP COM USD0.01</v>
      </c>
      <c r="C812" s="6">
        <v>466</v>
      </c>
      <c r="D812" s="6">
        <v>36928.74</v>
      </c>
    </row>
    <row r="813" spans="2:4">
      <c r="B813" s="4" t="str">
        <f>"RELIANCE STEEL &amp; ALUMINUM CO COM"</f>
        <v>RELIANCE STEEL &amp; ALUMINUM CO COM</v>
      </c>
      <c r="C813" s="6">
        <v>358</v>
      </c>
      <c r="D813" s="6">
        <v>40464.42</v>
      </c>
    </row>
    <row r="814" spans="2:4">
      <c r="B814" s="4" t="str">
        <f>"RELX PLC GBP0.1444"</f>
        <v>RELX PLC GBP0.1444</v>
      </c>
      <c r="C814" s="6">
        <v>1238</v>
      </c>
      <c r="D814" s="6">
        <v>26428.27</v>
      </c>
    </row>
    <row r="815" spans="2:4">
      <c r="B815" s="4" t="str">
        <f>"RELX PLC GBP0.1444"</f>
        <v>RELX PLC GBP0.1444</v>
      </c>
      <c r="C815" s="6">
        <v>2401</v>
      </c>
      <c r="D815" s="6">
        <v>50757.14</v>
      </c>
    </row>
    <row r="816" spans="2:4">
      <c r="B816" s="4" t="str">
        <f>"RENAULT SA EUR3.81"</f>
        <v>RENAULT SA EUR3.81</v>
      </c>
      <c r="C816" s="6">
        <v>5596</v>
      </c>
      <c r="D816" s="6">
        <v>152846.03</v>
      </c>
    </row>
    <row r="817" spans="2:4">
      <c r="B817" s="4" t="str">
        <f>"REPSOL SA EUR1"</f>
        <v>REPSOL SA EUR1</v>
      </c>
      <c r="C817" s="6">
        <v>14759</v>
      </c>
      <c r="D817" s="6">
        <v>116070.61</v>
      </c>
    </row>
    <row r="818" spans="2:4">
      <c r="B818" s="4" t="str">
        <f>"REPUBLIC SERVICES COM USD0.01"</f>
        <v>REPUBLIC SERVICES COM USD0.01</v>
      </c>
      <c r="C818" s="6">
        <v>656</v>
      </c>
      <c r="D818" s="6">
        <v>55845.05</v>
      </c>
    </row>
    <row r="819" spans="2:4">
      <c r="B819" s="4" t="str">
        <f>"RESONA HOLDINGS NPV"</f>
        <v>RESONA HOLDINGS NPV</v>
      </c>
      <c r="C819" s="6">
        <v>13300</v>
      </c>
      <c r="D819" s="6">
        <v>35831.949999999997</v>
      </c>
    </row>
    <row r="820" spans="2:4">
      <c r="B820" s="4" t="str">
        <f>"REXEL EUR5"</f>
        <v>REXEL EUR5</v>
      </c>
      <c r="C820" s="6">
        <v>1909</v>
      </c>
      <c r="D820" s="6">
        <v>28948.43</v>
      </c>
    </row>
    <row r="821" spans="2:4">
      <c r="B821" s="4" t="str">
        <f>"RICHEMONT(CIE FIN) CHF1.00 (REG) SER 'A'"</f>
        <v>RICHEMONT(CIE FIN) CHF1.00 (REG) SER 'A'</v>
      </c>
      <c r="C821" s="6">
        <v>1615</v>
      </c>
      <c r="D821" s="6">
        <v>148673.78</v>
      </c>
    </row>
    <row r="822" spans="2:4">
      <c r="B822" s="4" t="str">
        <f>"RICOH CO NPV"</f>
        <v>RICOH CO NPV</v>
      </c>
      <c r="C822" s="6">
        <v>4800</v>
      </c>
      <c r="D822" s="6">
        <v>37464.879999999997</v>
      </c>
    </row>
    <row r="823" spans="2:4">
      <c r="B823" s="4" t="str">
        <f>"RIO TINTO LIMITED NPV"</f>
        <v>RIO TINTO LIMITED NPV</v>
      </c>
      <c r="C823" s="6">
        <v>912</v>
      </c>
      <c r="D823" s="6">
        <v>64329.25</v>
      </c>
    </row>
    <row r="824" spans="2:4">
      <c r="B824" s="4" t="str">
        <f>"RIO TINTO ORD GBP0.10"</f>
        <v>RIO TINTO ORD GBP0.10</v>
      </c>
      <c r="C824" s="6">
        <v>2885</v>
      </c>
      <c r="D824" s="6">
        <v>176013.85</v>
      </c>
    </row>
    <row r="825" spans="2:4">
      <c r="B825" s="4" t="str">
        <f>"RIOCAN REAL ESTATE INVESTMENT TRUST"</f>
        <v>RIOCAN REAL ESTATE INVESTMENT TRUST</v>
      </c>
      <c r="C825" s="6">
        <v>1006</v>
      </c>
      <c r="D825" s="6">
        <v>13128.220000000001</v>
      </c>
    </row>
    <row r="826" spans="2:4">
      <c r="B826" s="4" t="str">
        <f>"RITE AID CORP COM USD1.00(POST REV SPLIT)"</f>
        <v>RITE AID CORP COM USD1.00(POST REV SPLIT)</v>
      </c>
      <c r="C826" s="6">
        <v>1600</v>
      </c>
      <c r="D826" s="6">
        <v>17492</v>
      </c>
    </row>
    <row r="827" spans="2:4">
      <c r="B827" s="4" t="str">
        <f>"ROCHE HLDGS AG CHF1(BR)"</f>
        <v>ROCHE HLDGS AG CHF1(BR)</v>
      </c>
      <c r="C827" s="6">
        <v>54</v>
      </c>
      <c r="D827" s="6">
        <v>16670.45</v>
      </c>
    </row>
    <row r="828" spans="2:4">
      <c r="B828" s="4" t="str">
        <f>"ROCHE HLDGS AG GENUSSCHEINE NPV"</f>
        <v>ROCHE HLDGS AG GENUSSCHEINE NPV</v>
      </c>
      <c r="C828" s="6">
        <v>1970</v>
      </c>
      <c r="D828" s="6">
        <v>547737.18999999994</v>
      </c>
    </row>
    <row r="829" spans="2:4">
      <c r="B829" s="4" t="str">
        <f>"ROCKWELL AUTOMATIO COM USD1"</f>
        <v>ROCKWELL AUTOMATIO COM USD1</v>
      </c>
      <c r="C829" s="6">
        <v>268</v>
      </c>
      <c r="D829" s="6">
        <v>59257.42</v>
      </c>
    </row>
    <row r="830" spans="2:4">
      <c r="B830" s="4" t="str">
        <f>"ROGERS COMMS INC CLASS'B'COM CAD1.62478"</f>
        <v>ROGERS COMMS INC CLASS'B'COM CAD1.62478</v>
      </c>
      <c r="C830" s="6">
        <v>1906</v>
      </c>
      <c r="D830" s="6">
        <v>69930.31</v>
      </c>
    </row>
    <row r="831" spans="2:4">
      <c r="B831" s="4" t="str">
        <f>"ROLLS-ROYCE HLDGS ORD GBP0.20"</f>
        <v>ROLLS-ROYCE HLDGS ORD GBP0.20</v>
      </c>
      <c r="C831" s="6">
        <v>42224</v>
      </c>
      <c r="D831" s="6">
        <v>42101.55</v>
      </c>
    </row>
    <row r="832" spans="2:4">
      <c r="B832" s="4" t="s">
        <v>27</v>
      </c>
      <c r="C832" s="6">
        <v>528159</v>
      </c>
      <c r="D832" s="6">
        <v>526627.34</v>
      </c>
    </row>
    <row r="833" spans="2:4">
      <c r="B833" s="4" t="str">
        <f>"ROPER TECHNOLOGIES COM USD0.01"</f>
        <v>ROPER TECHNOLOGIES COM USD0.01</v>
      </c>
      <c r="C833" s="6">
        <v>89</v>
      </c>
      <c r="D833" s="6">
        <v>31451.98</v>
      </c>
    </row>
    <row r="834" spans="2:4">
      <c r="B834" s="4" t="str">
        <f>"ROSS STORES INC COM USD0.01"</f>
        <v>ROSS STORES INC COM USD0.01</v>
      </c>
      <c r="C834" s="6">
        <v>596</v>
      </c>
      <c r="D834" s="6">
        <v>52593.4</v>
      </c>
    </row>
    <row r="835" spans="2:4">
      <c r="B835" s="4" t="str">
        <f>"ROYAL BK OF CANADA COM NPV"</f>
        <v>ROYAL BK OF CANADA COM NPV</v>
      </c>
      <c r="C835" s="6">
        <v>6559</v>
      </c>
      <c r="D835" s="6">
        <v>479895.45999999996</v>
      </c>
    </row>
    <row r="836" spans="2:4">
      <c r="B836" s="4" t="str">
        <f>"ROYAL CARIBBEAN GR COM USD0.01"</f>
        <v>ROYAL CARIBBEAN GR COM USD0.01</v>
      </c>
      <c r="C836" s="6">
        <v>898</v>
      </c>
      <c r="D836" s="6">
        <v>49648.84</v>
      </c>
    </row>
    <row r="837" spans="2:4">
      <c r="B837" s="4" t="str">
        <f>"ROYAL DUTCH SHELL 'B'SHS EUR0.07 (UK LIST)"</f>
        <v>ROYAL DUTCH SHELL 'B'SHS EUR0.07 (UK LIST)</v>
      </c>
      <c r="C837" s="6">
        <v>29413</v>
      </c>
      <c r="D837" s="6">
        <v>417605.77</v>
      </c>
    </row>
    <row r="838" spans="2:4">
      <c r="B838" s="4" t="s">
        <v>49</v>
      </c>
      <c r="C838" s="6">
        <v>35620</v>
      </c>
      <c r="D838" s="6">
        <v>514067.84</v>
      </c>
    </row>
    <row r="839" spans="2:4">
      <c r="B839" s="4" t="str">
        <f>"ROYAL DUTCH SHELL PLC 'A'SHS EUR0.07"</f>
        <v>ROYAL DUTCH SHELL PLC 'A'SHS EUR0.07</v>
      </c>
      <c r="C839" s="6">
        <v>31943</v>
      </c>
      <c r="D839" s="6">
        <v>461001.38</v>
      </c>
    </row>
    <row r="840" spans="2:4">
      <c r="B840" s="4" t="s">
        <v>50</v>
      </c>
      <c r="C840" s="6">
        <v>19999</v>
      </c>
      <c r="D840" s="6">
        <v>283945.8</v>
      </c>
    </row>
    <row r="841" spans="2:4">
      <c r="B841" s="4" t="s">
        <v>28</v>
      </c>
      <c r="C841" s="6">
        <v>367133</v>
      </c>
      <c r="D841" s="6">
        <v>1851084.59</v>
      </c>
    </row>
    <row r="842" spans="2:4">
      <c r="B842" s="4" t="str">
        <f>"RWE AG (NEU) NPV"</f>
        <v>RWE AG (NEU) NPV</v>
      </c>
      <c r="C842" s="6">
        <v>3990</v>
      </c>
      <c r="D842" s="6">
        <v>102123.62</v>
      </c>
    </row>
    <row r="843" spans="2:4">
      <c r="B843" s="4" t="str">
        <f>"RYDER SYSTEM INC COM USD0.50"</f>
        <v>RYDER SYSTEM INC COM USD0.50</v>
      </c>
      <c r="C843" s="6">
        <v>629</v>
      </c>
      <c r="D843" s="6">
        <v>34450.57</v>
      </c>
    </row>
    <row r="844" spans="2:4">
      <c r="B844" s="4" t="str">
        <f>"S&amp;P GLOBAL INC COM USD1"</f>
        <v>S&amp;P GLOBAL INC COM USD1</v>
      </c>
      <c r="C844" s="6">
        <v>190</v>
      </c>
      <c r="D844" s="6">
        <v>58587.26</v>
      </c>
    </row>
    <row r="845" spans="2:4">
      <c r="B845" s="4" t="str">
        <f>"SAFRAN EUR0.20"</f>
        <v>SAFRAN EUR0.20</v>
      </c>
      <c r="C845" s="6">
        <v>861</v>
      </c>
      <c r="D845" s="6">
        <v>80996.45</v>
      </c>
    </row>
    <row r="846" spans="2:4">
      <c r="B846" s="4" t="s">
        <v>34</v>
      </c>
      <c r="C846" s="6">
        <v>930310</v>
      </c>
      <c r="D846" s="6">
        <v>2635568.23</v>
      </c>
    </row>
    <row r="847" spans="2:4">
      <c r="B847" s="4" t="str">
        <f>"SAINSBURY(J) ORD GBP0.28571428"</f>
        <v>SAINSBURY(J) ORD GBP0.28571428</v>
      </c>
      <c r="C847" s="6">
        <v>21445</v>
      </c>
      <c r="D847" s="6">
        <v>60753.69</v>
      </c>
    </row>
    <row r="848" spans="2:4">
      <c r="B848" s="4" t="str">
        <f>"SALESFORCE.COM INC COM USD0.001"</f>
        <v>SALESFORCE.COM INC COM USD0.001</v>
      </c>
      <c r="C848" s="6">
        <v>553</v>
      </c>
      <c r="D848" s="6">
        <v>96225.62</v>
      </c>
    </row>
    <row r="849" spans="2:4">
      <c r="B849" s="4" t="str">
        <f>"SAMPO PLC SER'A'NPV"</f>
        <v>SAMPO PLC SER'A'NPV</v>
      </c>
      <c r="C849" s="6">
        <v>2453</v>
      </c>
      <c r="D849" s="6">
        <v>84981.57</v>
      </c>
    </row>
    <row r="850" spans="2:4">
      <c r="B850" s="4" t="str">
        <f>"SAMSUNG C&amp;T CORPOR KRW100"</f>
        <v>SAMSUNG C&amp;T CORPOR KRW100</v>
      </c>
      <c r="C850" s="6">
        <v>314</v>
      </c>
      <c r="D850" s="6">
        <v>27782.400000000001</v>
      </c>
    </row>
    <row r="851" spans="2:4">
      <c r="B851" s="4" t="str">
        <f>"SAMSUNG ELECTRONIC KRW100"</f>
        <v>SAMSUNG ELECTRONIC KRW100</v>
      </c>
      <c r="C851" s="6">
        <v>20408</v>
      </c>
      <c r="D851" s="6">
        <v>1005330.25</v>
      </c>
    </row>
    <row r="852" spans="2:4">
      <c r="B852" s="4" t="str">
        <f>"SAMSUNG ELECTRONIC PFD KRW100"</f>
        <v>SAMSUNG ELECTRONIC PFD KRW100</v>
      </c>
      <c r="C852" s="6">
        <v>3697</v>
      </c>
      <c r="D852" s="6">
        <v>167325.10999999999</v>
      </c>
    </row>
    <row r="853" spans="2:4">
      <c r="B853" s="4" t="str">
        <f>"SAMSUNG FIRE &amp; MAR KRW500"</f>
        <v>SAMSUNG FIRE &amp; MAR KRW500</v>
      </c>
      <c r="C853" s="6">
        <v>195</v>
      </c>
      <c r="D853" s="6">
        <v>26154.45</v>
      </c>
    </row>
    <row r="854" spans="2:4">
      <c r="B854" s="4" t="str">
        <f>"SANDS CHINA LTD USD0.01 REG'S'"</f>
        <v>SANDS CHINA LTD USD0.01 REG'S'</v>
      </c>
      <c r="C854" s="6">
        <v>8400</v>
      </c>
      <c r="D854" s="6">
        <v>20641.04</v>
      </c>
    </row>
    <row r="855" spans="2:4">
      <c r="B855" s="4" t="str">
        <f>"SANDVIK AB NPV (POST SPLIT)"</f>
        <v>SANDVIK AB NPV (POST SPLIT)</v>
      </c>
      <c r="C855" s="6">
        <v>3750</v>
      </c>
      <c r="D855" s="6">
        <v>70312.240000000005</v>
      </c>
    </row>
    <row r="856" spans="2:4">
      <c r="B856" s="4" t="s">
        <v>48</v>
      </c>
      <c r="C856" s="6">
        <v>16814</v>
      </c>
      <c r="D856" s="6">
        <v>1245885.58</v>
      </c>
    </row>
    <row r="857" spans="2:4">
      <c r="B857" s="4" t="str">
        <f>"SANOFI EUR2"</f>
        <v>SANOFI EUR2</v>
      </c>
      <c r="C857" s="6">
        <v>5188</v>
      </c>
      <c r="D857" s="6">
        <v>384420.98</v>
      </c>
    </row>
    <row r="858" spans="2:4">
      <c r="B858" s="4" t="str">
        <f>"SAP AG ORD NPV"</f>
        <v>SAP AG ORD NPV</v>
      </c>
      <c r="C858" s="6">
        <v>2082</v>
      </c>
      <c r="D858" s="6">
        <v>214574.82</v>
      </c>
    </row>
    <row r="859" spans="2:4">
      <c r="B859" s="4" t="str">
        <f>"SCENTRE GROUP NPV STAPLED UNIT"</f>
        <v>SCENTRE GROUP NPV STAPLED UNIT</v>
      </c>
      <c r="C859" s="6">
        <v>36795</v>
      </c>
      <c r="D859" s="6">
        <v>50577.21</v>
      </c>
    </row>
    <row r="860" spans="2:4">
      <c r="B860" s="4" t="str">
        <f>"SCHEIN HENRY INC COM"</f>
        <v>SCHEIN HENRY INC COM</v>
      </c>
      <c r="C860" s="6">
        <v>495</v>
      </c>
      <c r="D860" s="6">
        <v>28535.439999999999</v>
      </c>
    </row>
    <row r="861" spans="2:4">
      <c r="B861" s="4" t="str">
        <f>"SCHLUMBERGER COM USD0.01"</f>
        <v>SCHLUMBERGER COM USD0.01</v>
      </c>
      <c r="C861" s="6">
        <v>14099</v>
      </c>
      <c r="D861" s="6">
        <v>292353.84999999998</v>
      </c>
    </row>
    <row r="862" spans="2:4">
      <c r="B862" s="4" t="str">
        <f>"SCHNEIDER ELECTRIC EUR8"</f>
        <v>SCHNEIDER ELECTRIC EUR8</v>
      </c>
      <c r="C862" s="6">
        <v>1661</v>
      </c>
      <c r="D862" s="6">
        <v>200170.05</v>
      </c>
    </row>
    <row r="863" spans="2:4">
      <c r="B863" s="4" t="s">
        <v>15</v>
      </c>
      <c r="C863" s="6">
        <v>20605.91</v>
      </c>
      <c r="D863" s="6">
        <v>1329287.25</v>
      </c>
    </row>
    <row r="864" spans="2:4">
      <c r="B864" s="4" t="s">
        <v>11</v>
      </c>
      <c r="C864" s="6">
        <v>10342173.539999999</v>
      </c>
      <c r="D864" s="6">
        <v>13381817.98</v>
      </c>
    </row>
    <row r="865" spans="2:4">
      <c r="B865" s="4" t="s">
        <v>10</v>
      </c>
      <c r="C865" s="6">
        <v>4690434.49</v>
      </c>
      <c r="D865" s="6">
        <v>2121483.52</v>
      </c>
    </row>
    <row r="866" spans="2:4">
      <c r="B866" s="4" t="str">
        <f>"SCHWAB(CHARLES)CP COM USD0.01"</f>
        <v>SCHWAB(CHARLES)CP COM USD0.01</v>
      </c>
      <c r="C866" s="6">
        <v>2280</v>
      </c>
      <c r="D866" s="6">
        <v>111429.5</v>
      </c>
    </row>
    <row r="867" spans="2:4">
      <c r="B867" s="4" t="str">
        <f>"SCOR SE EUR7.876972 (POST CONS)"</f>
        <v>SCOR SE EUR7.876972 (POST CONS)</v>
      </c>
      <c r="C867" s="6">
        <v>1272</v>
      </c>
      <c r="D867" s="6">
        <v>25591.89</v>
      </c>
    </row>
    <row r="868" spans="2:4">
      <c r="B868" s="4" t="str">
        <f>"SEAGATE TECHNOLOGY COM USD0.00001"</f>
        <v>SEAGATE TECHNOLOGY COM USD0.00001</v>
      </c>
      <c r="C868" s="6">
        <v>1395</v>
      </c>
      <c r="D868" s="6">
        <v>88193.98</v>
      </c>
    </row>
    <row r="869" spans="2:4">
      <c r="B869" s="4" t="str">
        <f>"SECOM CO NPV"</f>
        <v>SECOM CO NPV</v>
      </c>
      <c r="C869" s="6">
        <v>600</v>
      </c>
      <c r="D869" s="6">
        <v>32455.41</v>
      </c>
    </row>
    <row r="870" spans="2:4">
      <c r="B870" s="4" t="str">
        <f>"SECURITAS SER'B'NPV"</f>
        <v>SECURITAS SER'B'NPV</v>
      </c>
      <c r="C870" s="6">
        <v>1080</v>
      </c>
      <c r="D870" s="6">
        <v>13704.59</v>
      </c>
    </row>
    <row r="871" spans="2:4">
      <c r="B871" s="4" t="str">
        <f>"SEKISUI HOUSE NPV"</f>
        <v>SEKISUI HOUSE NPV</v>
      </c>
      <c r="C871" s="6">
        <v>3500</v>
      </c>
      <c r="D871" s="6">
        <v>50390.95</v>
      </c>
    </row>
    <row r="872" spans="2:4">
      <c r="B872" s="4" t="str">
        <f>"SEMPRA ENERGY COM NPV"</f>
        <v>SEMPRA ENERGY COM NPV</v>
      </c>
      <c r="C872" s="6">
        <v>1146</v>
      </c>
      <c r="D872" s="6">
        <v>107688.64</v>
      </c>
    </row>
    <row r="873" spans="2:4">
      <c r="B873" s="4" t="str">
        <f>"SES S.A. FDR EACH REP 1 'A' NPV"</f>
        <v>SES S.A. FDR EACH REP 1 'A' NPV</v>
      </c>
      <c r="C873" s="6">
        <v>4234</v>
      </c>
      <c r="D873" s="6">
        <v>23486.52</v>
      </c>
    </row>
    <row r="874" spans="2:4">
      <c r="B874" s="4" t="str">
        <f>"SEVEN &amp; I HOLDINGS NPV"</f>
        <v>SEVEN &amp; I HOLDINGS NPV</v>
      </c>
      <c r="C874" s="6">
        <v>4000</v>
      </c>
      <c r="D874" s="6">
        <v>127609.17</v>
      </c>
    </row>
    <row r="875" spans="2:4">
      <c r="B875" s="4" t="str">
        <f>"SEVERN TRENT ORD GBP0.9789"</f>
        <v>SEVERN TRENT ORD GBP0.9789</v>
      </c>
      <c r="C875" s="6">
        <v>1190</v>
      </c>
      <c r="D875" s="6">
        <v>33320</v>
      </c>
    </row>
    <row r="876" spans="2:4">
      <c r="B876" s="4" t="str">
        <f>"SGS LTD CHF1(REGD)"</f>
        <v>SGS LTD CHF1(REGD)</v>
      </c>
      <c r="C876" s="6">
        <v>19</v>
      </c>
      <c r="D876" s="6">
        <v>44225.17</v>
      </c>
    </row>
    <row r="877" spans="2:4">
      <c r="B877" s="4" t="str">
        <f>"SHAW COMMUNICATIONS INC CL B CONV"</f>
        <v>SHAW COMMUNICATIONS INC CL B CONV</v>
      </c>
      <c r="C877" s="6">
        <v>2400</v>
      </c>
      <c r="D877" s="6">
        <v>50388.23</v>
      </c>
    </row>
    <row r="878" spans="2:4">
      <c r="B878" s="4" t="str">
        <f>"SHERWIN-WILLIAMS COM USD1"</f>
        <v>SHERWIN-WILLIAMS COM USD1</v>
      </c>
      <c r="C878" s="6">
        <v>267</v>
      </c>
      <c r="D878" s="6">
        <v>55888.81</v>
      </c>
    </row>
    <row r="879" spans="2:4">
      <c r="B879" s="4" t="str">
        <f>"SHIMIZU CORP NPV"</f>
        <v>SHIMIZU CORP NPV</v>
      </c>
      <c r="C879" s="6">
        <v>4700</v>
      </c>
      <c r="D879" s="6">
        <v>25046.46</v>
      </c>
    </row>
    <row r="880" spans="2:4">
      <c r="B880" s="4" t="str">
        <f>"SHIN-ETSU CHEMICAL NPV"</f>
        <v>SHIN-ETSU CHEMICAL NPV</v>
      </c>
      <c r="C880" s="6">
        <v>1000</v>
      </c>
      <c r="D880" s="6">
        <v>116324.1</v>
      </c>
    </row>
    <row r="881" spans="2:4">
      <c r="B881" s="4" t="str">
        <f>"SHINHAN FIN GROUP KRW5000"</f>
        <v>SHINHAN FIN GROUP KRW5000</v>
      </c>
      <c r="C881" s="6">
        <v>2818</v>
      </c>
      <c r="D881" s="6">
        <v>68985.27</v>
      </c>
    </row>
    <row r="882" spans="2:4">
      <c r="B882" s="4" t="str">
        <f>"SHIONOGI &amp; CO NPV"</f>
        <v>SHIONOGI &amp; CO NPV</v>
      </c>
      <c r="C882" s="6">
        <v>500</v>
      </c>
      <c r="D882" s="6">
        <v>18847.78</v>
      </c>
    </row>
    <row r="883" spans="2:4">
      <c r="B883" s="4" t="str">
        <f>"SHISEIDO CO LTD NPV"</f>
        <v>SHISEIDO CO LTD NPV</v>
      </c>
      <c r="C883" s="6">
        <v>500</v>
      </c>
      <c r="D883" s="6">
        <v>23929.780000000002</v>
      </c>
    </row>
    <row r="884" spans="2:4">
      <c r="B884" s="4" t="str">
        <f>"SHOWA DENKO KK NPV"</f>
        <v>SHOWA DENKO KK NPV</v>
      </c>
      <c r="C884" s="6">
        <v>1600</v>
      </c>
      <c r="D884" s="6">
        <v>32819.78</v>
      </c>
    </row>
    <row r="885" spans="2:4">
      <c r="B885" s="4" t="str">
        <f>"SIEMENS AG NPV(REGD)"</f>
        <v>SIEMENS AG NPV(REGD)</v>
      </c>
      <c r="C885" s="6">
        <v>3522</v>
      </c>
      <c r="D885" s="6">
        <v>395245.14</v>
      </c>
    </row>
    <row r="886" spans="2:4">
      <c r="B886" s="4" t="str">
        <f>"SIEMENS ENERGY AG NPV"</f>
        <v>SIEMENS ENERGY AG NPV</v>
      </c>
      <c r="C886" s="6">
        <v>1989</v>
      </c>
      <c r="D886" s="6">
        <v>38914.86</v>
      </c>
    </row>
    <row r="887" spans="2:4">
      <c r="B887" s="4" t="str">
        <f>"SIGNIFY NV EUR0.01"</f>
        <v>SIGNIFY NV EUR0.01</v>
      </c>
      <c r="C887" s="6">
        <v>884</v>
      </c>
      <c r="D887" s="6">
        <v>35578.660000000003</v>
      </c>
    </row>
    <row r="888" spans="2:4">
      <c r="B888" s="4" t="str">
        <f>"SIKA AG CHF0.01 (REG)"</f>
        <v>SIKA AG CHF0.01 (REG)</v>
      </c>
      <c r="C888" s="6">
        <v>165</v>
      </c>
      <c r="D888" s="6">
        <v>41784.44</v>
      </c>
    </row>
    <row r="889" spans="2:4">
      <c r="B889" s="4" t="str">
        <f>"SIMON PROP GROUP COM USD0.0001"</f>
        <v>SIMON PROP GROUP COM USD0.0001</v>
      </c>
      <c r="C889" s="6">
        <v>1525</v>
      </c>
      <c r="D889" s="6">
        <v>138772.97</v>
      </c>
    </row>
    <row r="890" spans="2:4">
      <c r="B890" s="4" t="str">
        <f>"SINGAPORE TELECOMM NPV"</f>
        <v>SINGAPORE TELECOMM NPV</v>
      </c>
      <c r="C890" s="6">
        <v>44100</v>
      </c>
      <c r="D890" s="6">
        <v>53172.800000000003</v>
      </c>
    </row>
    <row r="891" spans="2:4">
      <c r="B891" s="4" t="s">
        <v>8</v>
      </c>
      <c r="C891" s="6">
        <v>605842.22</v>
      </c>
      <c r="D891" s="6">
        <v>10800841.890000001</v>
      </c>
    </row>
    <row r="892" spans="2:4">
      <c r="B892" s="4" t="s">
        <v>12</v>
      </c>
      <c r="C892" s="6">
        <v>96615.82</v>
      </c>
      <c r="D892" s="6">
        <v>11513088.93</v>
      </c>
    </row>
    <row r="893" spans="2:4">
      <c r="B893" s="4" t="str">
        <f>"SK HYNIX INC KRW5000"</f>
        <v>SK HYNIX INC KRW5000</v>
      </c>
      <c r="C893" s="6">
        <v>2195</v>
      </c>
      <c r="D893" s="6">
        <v>154408.31</v>
      </c>
    </row>
    <row r="894" spans="2:4">
      <c r="B894" s="4" t="str">
        <f>"SK INC. KRW200"</f>
        <v>SK INC. KRW200</v>
      </c>
      <c r="C894" s="6">
        <v>417</v>
      </c>
      <c r="D894" s="6">
        <v>70083.63</v>
      </c>
    </row>
    <row r="895" spans="2:4">
      <c r="B895" s="4" t="str">
        <f>"SK INNOVATION CO KRW5000"</f>
        <v>SK INNOVATION CO KRW5000</v>
      </c>
      <c r="C895" s="6">
        <v>338</v>
      </c>
      <c r="D895" s="6">
        <v>53471.31</v>
      </c>
    </row>
    <row r="896" spans="2:4">
      <c r="B896" s="4" t="str">
        <f>"SK TELECOM KRW500"</f>
        <v>SK TELECOM KRW500</v>
      </c>
      <c r="C896" s="6">
        <v>194</v>
      </c>
      <c r="D896" s="6">
        <v>36607.980000000003</v>
      </c>
    </row>
    <row r="897" spans="2:4">
      <c r="B897" s="4" t="str">
        <f>"SKAND ENSKILDA BKN SER'A'NPV"</f>
        <v>SKAND ENSKILDA BKN SER'A'NPV</v>
      </c>
      <c r="C897" s="6">
        <v>10201</v>
      </c>
      <c r="D897" s="6">
        <v>99386.05</v>
      </c>
    </row>
    <row r="898" spans="2:4">
      <c r="B898" s="4" t="str">
        <f>"SKANSKA AB SER'B'NPV"</f>
        <v>SKANSKA AB SER'B'NPV</v>
      </c>
      <c r="C898" s="6">
        <v>2813</v>
      </c>
      <c r="D898" s="6">
        <v>57140.81</v>
      </c>
    </row>
    <row r="899" spans="2:4">
      <c r="B899" s="4" t="str">
        <f>"SKF AB SER'B'NPV"</f>
        <v>SKF AB SER'B'NPV</v>
      </c>
      <c r="C899" s="6">
        <v>1934</v>
      </c>
      <c r="D899" s="6">
        <v>36989.879999999997</v>
      </c>
    </row>
    <row r="900" spans="2:4">
      <c r="B900" s="4" t="str">
        <f>"SKYWORKS SOLUTIONS INC COM"</f>
        <v>SKYWORKS SOLUTIONS INC COM</v>
      </c>
      <c r="C900" s="6">
        <v>206</v>
      </c>
      <c r="D900" s="6">
        <v>27337.759999999998</v>
      </c>
    </row>
    <row r="901" spans="2:4">
      <c r="B901" s="4" t="str">
        <f>"SL GREEN RLTY CORP COM USD0.01(POST REV SPLIT)"</f>
        <v>SL GREEN RLTY CORP COM USD0.01(POST REV SPLIT)</v>
      </c>
      <c r="C901" s="6">
        <v>626</v>
      </c>
      <c r="D901" s="6">
        <v>33620.929999999993</v>
      </c>
    </row>
    <row r="902" spans="2:4">
      <c r="B902" s="4" t="str">
        <f>"SMC CORP NPV"</f>
        <v>SMC CORP NPV</v>
      </c>
      <c r="C902" s="6">
        <v>100</v>
      </c>
      <c r="D902" s="6">
        <v>42466.49</v>
      </c>
    </row>
    <row r="903" spans="2:4">
      <c r="B903" s="4" t="str">
        <f>"SMITH &amp; NEPHEW ORD USD0.20"</f>
        <v>SMITH &amp; NEPHEW ORD USD0.20</v>
      </c>
      <c r="C903" s="6">
        <v>2145</v>
      </c>
      <c r="D903" s="6">
        <v>31359.9</v>
      </c>
    </row>
    <row r="904" spans="2:4">
      <c r="B904" s="4" t="str">
        <f>"SMITH(DS) ORD GBP0.10"</f>
        <v>SMITH(DS) ORD GBP0.10</v>
      </c>
      <c r="C904" s="6">
        <v>6630</v>
      </c>
      <c r="D904" s="6">
        <v>28044.9</v>
      </c>
    </row>
    <row r="905" spans="2:4">
      <c r="B905" s="4" t="str">
        <f>"SMITHS GROUP ORD GBP0.375"</f>
        <v>SMITHS GROUP ORD GBP0.375</v>
      </c>
      <c r="C905" s="6">
        <v>1581</v>
      </c>
      <c r="D905" s="6">
        <v>24592.46</v>
      </c>
    </row>
    <row r="906" spans="2:4">
      <c r="B906" s="4" t="str">
        <f>"SMUCKER(JM)CO COM NPV"</f>
        <v>SMUCKER(JM)CO COM NPV</v>
      </c>
      <c r="C906" s="6">
        <v>489</v>
      </c>
      <c r="D906" s="6">
        <v>46112.7</v>
      </c>
    </row>
    <row r="907" spans="2:4">
      <c r="B907" s="4" t="str">
        <f>"SMURFIT KAPPA GRP ORD EUR0.001"</f>
        <v>SMURFIT KAPPA GRP ORD EUR0.001</v>
      </c>
      <c r="C907" s="6">
        <v>1545</v>
      </c>
      <c r="D907" s="6">
        <v>62402.55</v>
      </c>
    </row>
    <row r="908" spans="2:4">
      <c r="B908" s="4" t="str">
        <f>"SNAM EUR1"</f>
        <v>SNAM EUR1</v>
      </c>
      <c r="C908" s="6">
        <v>12494</v>
      </c>
      <c r="D908" s="6">
        <v>54387.55</v>
      </c>
    </row>
    <row r="909" spans="2:4">
      <c r="B909" s="4" t="str">
        <f>"SOC GENERALE EUR1.25"</f>
        <v>SOC GENERALE EUR1.25</v>
      </c>
      <c r="C909" s="6">
        <v>15839</v>
      </c>
      <c r="D909" s="6">
        <v>334003.77</v>
      </c>
    </row>
    <row r="910" spans="2:4">
      <c r="B910" s="4" t="str">
        <f>"SODEXO EUR4"</f>
        <v>SODEXO EUR4</v>
      </c>
      <c r="C910" s="6">
        <v>525</v>
      </c>
      <c r="D910" s="6">
        <v>32194.04</v>
      </c>
    </row>
    <row r="911" spans="2:4">
      <c r="B911" s="4" t="str">
        <f>"SOFTBANK CORP NPV"</f>
        <v>SOFTBANK CORP NPV</v>
      </c>
      <c r="C911" s="6">
        <v>14000</v>
      </c>
      <c r="D911" s="6">
        <v>131154.6</v>
      </c>
    </row>
    <row r="912" spans="2:4">
      <c r="B912" s="4" t="str">
        <f>"SOFTBANK GROUP CO NPV"</f>
        <v>SOFTBANK GROUP CO NPV</v>
      </c>
      <c r="C912" s="6">
        <v>5700</v>
      </c>
      <c r="D912" s="6">
        <v>255394.63</v>
      </c>
    </row>
    <row r="913" spans="2:4">
      <c r="B913" s="4" t="str">
        <f>"SOLVAY SA NPV"</f>
        <v>SOLVAY SA NPV</v>
      </c>
      <c r="C913" s="6">
        <v>531</v>
      </c>
      <c r="D913" s="6">
        <v>50948.85</v>
      </c>
    </row>
    <row r="914" spans="2:4">
      <c r="B914" s="4" t="str">
        <f>"SOMPO HOLDINGS INC NPV"</f>
        <v>SOMPO HOLDINGS INC NPV</v>
      </c>
      <c r="C914" s="6">
        <v>1900</v>
      </c>
      <c r="D914" s="6">
        <v>56405.72</v>
      </c>
    </row>
    <row r="915" spans="2:4">
      <c r="B915" s="4" t="str">
        <f>"SONY GROUP CORPORA NPV"</f>
        <v>SONY GROUP CORPORA NPV</v>
      </c>
      <c r="C915" s="6">
        <v>3600</v>
      </c>
      <c r="D915" s="6">
        <v>268364.61</v>
      </c>
    </row>
    <row r="916" spans="2:4">
      <c r="B916" s="4" t="s">
        <v>7</v>
      </c>
      <c r="C916" s="6">
        <v>970860</v>
      </c>
      <c r="D916" s="6">
        <v>1522308.48</v>
      </c>
    </row>
    <row r="917" spans="2:4">
      <c r="B917" s="4" t="str">
        <f>"SOUTH32 LTD NPV"</f>
        <v>SOUTH32 LTD NPV</v>
      </c>
      <c r="C917" s="6">
        <v>27338</v>
      </c>
      <c r="D917" s="6">
        <v>42925.56</v>
      </c>
    </row>
    <row r="918" spans="2:4">
      <c r="B918" s="4" t="str">
        <f>"SOUTHERN CO COM"</f>
        <v>SOUTHERN CO COM</v>
      </c>
      <c r="C918" s="6">
        <v>4709</v>
      </c>
      <c r="D918" s="6">
        <v>216322.39</v>
      </c>
    </row>
    <row r="919" spans="2:4">
      <c r="B919" s="4" t="str">
        <f>"SSE PLC ORD GBP0.50"</f>
        <v>SSE PLC ORD GBP0.50</v>
      </c>
      <c r="C919" s="6">
        <v>8275</v>
      </c>
      <c r="D919" s="6">
        <v>124298.78</v>
      </c>
    </row>
    <row r="920" spans="2:4">
      <c r="B920" s="4" t="str">
        <f>"STANDARD CHARTERED ORD USD0.50"</f>
        <v>STANDARD CHARTERED ORD USD0.50</v>
      </c>
      <c r="C920" s="6">
        <v>24104</v>
      </c>
      <c r="D920" s="6">
        <v>104129.28</v>
      </c>
    </row>
    <row r="921" spans="2:4">
      <c r="B921" s="4" t="s">
        <v>41</v>
      </c>
      <c r="C921" s="6">
        <v>352558</v>
      </c>
      <c r="D921" s="6">
        <v>1523050.56</v>
      </c>
    </row>
    <row r="922" spans="2:4">
      <c r="B922" s="4" t="str">
        <f>"STANLEY BLACK &amp; DE COM USD2.50"</f>
        <v>STANLEY BLACK &amp; DE COM USD2.50</v>
      </c>
      <c r="C922" s="6">
        <v>447</v>
      </c>
      <c r="D922" s="6">
        <v>63351.93</v>
      </c>
    </row>
    <row r="923" spans="2:4">
      <c r="B923" s="4" t="str">
        <f>"STARBUCKS CORP COM USD0.001"</f>
        <v>STARBUCKS CORP COM USD0.001</v>
      </c>
      <c r="C923" s="6">
        <v>1707</v>
      </c>
      <c r="D923" s="6">
        <v>149085.49</v>
      </c>
    </row>
    <row r="924" spans="2:4">
      <c r="B924" s="4" t="str">
        <f>"STARWOOD PROPERTY COM USD0.01"</f>
        <v>STARWOOD PROPERTY COM USD0.01</v>
      </c>
      <c r="C924" s="6">
        <v>1682</v>
      </c>
      <c r="D924" s="6">
        <v>31490.240000000002</v>
      </c>
    </row>
    <row r="925" spans="2:4">
      <c r="B925" s="4" t="str">
        <f>"STATE STREET CORP COM STK USD1"</f>
        <v>STATE STREET CORP COM STK USD1</v>
      </c>
      <c r="C925" s="6">
        <v>1757</v>
      </c>
      <c r="D925" s="6">
        <v>110119.74</v>
      </c>
    </row>
    <row r="926" spans="2:4">
      <c r="B926" s="4" t="str">
        <f>"STEEL DYNAMICS INC COM"</f>
        <v>STEEL DYNAMICS INC COM</v>
      </c>
      <c r="C926" s="6">
        <v>1232</v>
      </c>
      <c r="D926" s="6">
        <v>57109.65</v>
      </c>
    </row>
    <row r="927" spans="2:4">
      <c r="B927" s="4" t="str">
        <f>"STELLANTIS N V COM EUR0.01"</f>
        <v>STELLANTIS N V COM EUR0.01</v>
      </c>
      <c r="C927" s="6">
        <v>1508</v>
      </c>
      <c r="D927" s="6">
        <v>20822.63</v>
      </c>
    </row>
    <row r="928" spans="2:4">
      <c r="B928" s="4" t="str">
        <f>"STELLANTIS N V COM EUR0.01"</f>
        <v>STELLANTIS N V COM EUR0.01</v>
      </c>
      <c r="C928" s="6">
        <v>26783</v>
      </c>
      <c r="D928" s="6">
        <v>369822.54</v>
      </c>
    </row>
    <row r="929" spans="2:4">
      <c r="B929" s="4" t="str">
        <f>"STMICROELECTRONICS EUR1.04"</f>
        <v>STMICROELECTRONICS EUR1.04</v>
      </c>
      <c r="C929" s="6">
        <v>1305</v>
      </c>
      <c r="D929" s="6">
        <v>38443.25</v>
      </c>
    </row>
    <row r="930" spans="2:4">
      <c r="B930" s="4" t="str">
        <f>"STOCKLAND NPV (STAPLED)"</f>
        <v>STOCKLAND NPV (STAPLED)</v>
      </c>
      <c r="C930" s="6">
        <v>17526</v>
      </c>
      <c r="D930" s="6">
        <v>42001.16</v>
      </c>
    </row>
    <row r="931" spans="2:4">
      <c r="B931" s="4" t="str">
        <f>"STORA ENSO OYJ NPV SER'R'"</f>
        <v>STORA ENSO OYJ NPV SER'R'</v>
      </c>
      <c r="C931" s="6">
        <v>4272</v>
      </c>
      <c r="D931" s="6">
        <v>60791.77</v>
      </c>
    </row>
    <row r="932" spans="2:4">
      <c r="B932" s="4" t="str">
        <f>"STRYKER CORP COM USD0.10"</f>
        <v>STRYKER CORP COM USD0.10</v>
      </c>
      <c r="C932" s="6">
        <v>524</v>
      </c>
      <c r="D932" s="6">
        <v>102112.82</v>
      </c>
    </row>
    <row r="933" spans="2:4">
      <c r="B933" s="4" t="str">
        <f>"SUBARU CORPORATION NPV"</f>
        <v>SUBARU CORPORATION NPV</v>
      </c>
      <c r="C933" s="6">
        <v>4600</v>
      </c>
      <c r="D933" s="6">
        <v>64542.51</v>
      </c>
    </row>
    <row r="934" spans="2:4">
      <c r="B934" s="4" t="str">
        <f>"SUEZ EUR4"</f>
        <v>SUEZ EUR4</v>
      </c>
      <c r="C934" s="6">
        <v>2586</v>
      </c>
      <c r="D934" s="6">
        <v>43383.06</v>
      </c>
    </row>
    <row r="935" spans="2:4">
      <c r="B935" s="4" t="str">
        <f>"SUMITOMO CHEM CO NPV"</f>
        <v>SUMITOMO CHEM CO NPV</v>
      </c>
      <c r="C935" s="6">
        <v>15500</v>
      </c>
      <c r="D935" s="6">
        <v>57595.17</v>
      </c>
    </row>
    <row r="936" spans="2:4">
      <c r="B936" s="4" t="str">
        <f>"SUMITOMO CORP NPV"</f>
        <v>SUMITOMO CORP NPV</v>
      </c>
      <c r="C936" s="6">
        <v>8000</v>
      </c>
      <c r="D936" s="6">
        <v>77750.37</v>
      </c>
    </row>
    <row r="937" spans="2:4">
      <c r="B937" s="4" t="str">
        <f>"SUMITOMO ELECTRIC NPV"</f>
        <v>SUMITOMO ELECTRIC NPV</v>
      </c>
      <c r="C937" s="6">
        <v>4500</v>
      </c>
      <c r="D937" s="6">
        <v>45636.73</v>
      </c>
    </row>
    <row r="938" spans="2:4">
      <c r="B938" s="4" t="str">
        <f>"SUMITOMO METAL MNG NPV"</f>
        <v>SUMITOMO METAL MNG NPV</v>
      </c>
      <c r="C938" s="6">
        <v>1100</v>
      </c>
      <c r="D938" s="6">
        <v>31848.55</v>
      </c>
    </row>
    <row r="939" spans="2:4">
      <c r="B939" s="4" t="str">
        <f>"SUMITOMO MITSUI FG NPV"</f>
        <v>SUMITOMO MITSUI FG NPV</v>
      </c>
      <c r="C939" s="6">
        <v>8700</v>
      </c>
      <c r="D939" s="6">
        <v>210671.13</v>
      </c>
    </row>
    <row r="940" spans="2:4">
      <c r="B940" s="4" t="str">
        <f>"SUMITOMO MITSUI TR NPV"</f>
        <v>SUMITOMO MITSUI TR NPV</v>
      </c>
      <c r="C940" s="6">
        <v>1700</v>
      </c>
      <c r="D940" s="6">
        <v>40062.67</v>
      </c>
    </row>
    <row r="941" spans="2:4">
      <c r="B941" s="4" t="str">
        <f>"SUMITOMO RLTY&amp;DEV NPV"</f>
        <v>SUMITOMO RLTY&amp;DEV NPV</v>
      </c>
      <c r="C941" s="6">
        <v>1700</v>
      </c>
      <c r="D941" s="6">
        <v>39572.47</v>
      </c>
    </row>
    <row r="942" spans="2:4">
      <c r="B942" s="4" t="str">
        <f>"SUN HUNG KAI PROP NPV"</f>
        <v>SUN HUNG KAI PROP NPV</v>
      </c>
      <c r="C942" s="6">
        <v>8000</v>
      </c>
      <c r="D942" s="6">
        <v>82408.67</v>
      </c>
    </row>
    <row r="943" spans="2:4">
      <c r="B943" s="4" t="str">
        <f>"SUN LIFE FINL INC COM"</f>
        <v>SUN LIFE FINL INC COM</v>
      </c>
      <c r="C943" s="6">
        <v>3090</v>
      </c>
      <c r="D943" s="6">
        <v>115685.17</v>
      </c>
    </row>
    <row r="944" spans="2:4">
      <c r="B944" s="4" t="str">
        <f>"SUNCOR ENERGY INC COM NPV 'NEW'"</f>
        <v>SUNCOR ENERGY INC COM NPV 'NEW'</v>
      </c>
      <c r="C944" s="6">
        <v>8745</v>
      </c>
      <c r="D944" s="6">
        <v>123745</v>
      </c>
    </row>
    <row r="945" spans="2:4">
      <c r="B945" s="4" t="str">
        <f>"SUNCORP GROUP LTD NPV"</f>
        <v>SUNCORP GROUP LTD NPV</v>
      </c>
      <c r="C945" s="6">
        <v>6319</v>
      </c>
      <c r="D945" s="6">
        <v>38552</v>
      </c>
    </row>
    <row r="946" spans="2:4">
      <c r="B946" s="4" t="str">
        <f>"SUZUKI MOTOR CORP NPV"</f>
        <v>SUZUKI MOTOR CORP NPV</v>
      </c>
      <c r="C946" s="6">
        <v>2400</v>
      </c>
      <c r="D946" s="6">
        <v>69676.5</v>
      </c>
    </row>
    <row r="947" spans="2:4">
      <c r="B947" s="4" t="str">
        <f>"SVENSKA HANDELSBKN SER'A'NPV (P/S)"</f>
        <v>SVENSKA HANDELSBKN SER'A'NPV (P/S)</v>
      </c>
      <c r="C947" s="6">
        <v>10285</v>
      </c>
      <c r="D947" s="6">
        <v>83482.210000000006</v>
      </c>
    </row>
    <row r="948" spans="2:4">
      <c r="B948" s="4" t="str">
        <f>"SWATCH GROUP CHF0.45(REGD)"</f>
        <v>SWATCH GROUP CHF0.45(REGD)</v>
      </c>
      <c r="C948" s="6">
        <v>477</v>
      </c>
      <c r="D948" s="6">
        <v>22277.62</v>
      </c>
    </row>
    <row r="949" spans="2:4">
      <c r="B949" s="4" t="str">
        <f>"SWATCH GROUP CHF2.25(BR)"</f>
        <v>SWATCH GROUP CHF2.25(BR)</v>
      </c>
      <c r="C949" s="6">
        <v>179</v>
      </c>
      <c r="D949" s="6">
        <v>43000.09</v>
      </c>
    </row>
    <row r="950" spans="2:4">
      <c r="B950" s="4" t="str">
        <f>"SWEDBANK AB SER'A'NPV"</f>
        <v>SWEDBANK AB SER'A'NPV</v>
      </c>
      <c r="C950" s="6">
        <v>8670</v>
      </c>
      <c r="D950" s="6">
        <v>121584.42</v>
      </c>
    </row>
    <row r="951" spans="2:4">
      <c r="B951" s="4" t="str">
        <f>"SWIRE PACIFIC 'A'HKD0.60"</f>
        <v>SWIRE PACIFIC 'A'HKD0.60</v>
      </c>
      <c r="C951" s="6">
        <v>2500</v>
      </c>
      <c r="D951" s="6">
        <v>11164.14</v>
      </c>
    </row>
    <row r="952" spans="2:4">
      <c r="B952" s="4" t="str">
        <f>"SWISS LIFE HLDG CHF5.1(REGD)"</f>
        <v>SWISS LIFE HLDG CHF5.1(REGD)</v>
      </c>
      <c r="C952" s="6">
        <v>233</v>
      </c>
      <c r="D952" s="6">
        <v>86537.76</v>
      </c>
    </row>
    <row r="953" spans="2:4">
      <c r="B953" s="4" t="str">
        <f>"SWISS RE AG CHF0.10"</f>
        <v>SWISS RE AG CHF0.10</v>
      </c>
      <c r="C953" s="6">
        <v>2489</v>
      </c>
      <c r="D953" s="6">
        <v>162012.51</v>
      </c>
    </row>
    <row r="954" spans="2:4">
      <c r="B954" s="4" t="str">
        <f>"SWISSCOM AG CHF1(REGD)"</f>
        <v>SWISSCOM AG CHF1(REGD)</v>
      </c>
      <c r="C954" s="6">
        <v>121</v>
      </c>
      <c r="D954" s="6">
        <v>52334.22</v>
      </c>
    </row>
    <row r="955" spans="2:4">
      <c r="B955" s="4" t="str">
        <f>"SYNCHRONY FINANCIA COM USD0.001"</f>
        <v>SYNCHRONY FINANCIA COM USD0.001</v>
      </c>
      <c r="C955" s="6">
        <v>4929</v>
      </c>
      <c r="D955" s="6">
        <v>167355.92000000001</v>
      </c>
    </row>
    <row r="956" spans="2:4">
      <c r="B956" s="4" t="str">
        <f>"SYSCO CORP COM USD1"</f>
        <v>SYSCO CORP COM USD1</v>
      </c>
      <c r="C956" s="6">
        <v>2101</v>
      </c>
      <c r="D956" s="6">
        <v>112125.87</v>
      </c>
    </row>
    <row r="957" spans="2:4">
      <c r="B957" s="4" t="str">
        <f>"T ROWE PRICE GROUP COM USD0.20"</f>
        <v>T ROWE PRICE GROUP COM USD0.20</v>
      </c>
      <c r="C957" s="6">
        <v>606</v>
      </c>
      <c r="D957" s="6">
        <v>88985.48</v>
      </c>
    </row>
    <row r="958" spans="2:4">
      <c r="B958" s="4" t="str">
        <f>"T&amp;D HOLDINGS INC NPV"</f>
        <v>T&amp;D HOLDINGS INC NPV</v>
      </c>
      <c r="C958" s="6">
        <v>5200</v>
      </c>
      <c r="D958" s="6">
        <v>47641.11</v>
      </c>
    </row>
    <row r="959" spans="2:4">
      <c r="B959" s="4" t="str">
        <f>"TAIHEIYO CEMENT NPV"</f>
        <v>TAIHEIYO CEMENT NPV</v>
      </c>
      <c r="C959" s="6">
        <v>1600</v>
      </c>
      <c r="D959" s="6">
        <v>26633.3</v>
      </c>
    </row>
    <row r="960" spans="2:4">
      <c r="B960" s="4" t="str">
        <f>"TAISEI CORP NPV"</f>
        <v>TAISEI CORP NPV</v>
      </c>
      <c r="C960" s="6">
        <v>1500</v>
      </c>
      <c r="D960" s="6">
        <v>36126</v>
      </c>
    </row>
    <row r="961" spans="2:4">
      <c r="B961" s="4" t="str">
        <f>"TAKEDA PHARMACEUTI NPV"</f>
        <v>TAKEDA PHARMACEUTI NPV</v>
      </c>
      <c r="C961" s="6">
        <v>7412</v>
      </c>
      <c r="D961" s="6">
        <v>178850.65</v>
      </c>
    </row>
    <row r="962" spans="2:4">
      <c r="B962" s="4" t="str">
        <f>"TAPESTRY INC COM USD0.01"</f>
        <v>TAPESTRY INC COM USD0.01</v>
      </c>
      <c r="C962" s="6">
        <v>1874</v>
      </c>
      <c r="D962" s="6">
        <v>57014.559999999998</v>
      </c>
    </row>
    <row r="963" spans="2:4">
      <c r="B963" s="4" t="str">
        <f>"TARGA RESOURCES CO COM USD0.001"</f>
        <v>TARGA RESOURCES CO COM USD0.001</v>
      </c>
      <c r="C963" s="6">
        <v>2382</v>
      </c>
      <c r="D963" s="6">
        <v>72290.070000000007</v>
      </c>
    </row>
    <row r="964" spans="2:4">
      <c r="B964" s="4" t="str">
        <f>"TARGET CORP COM STK USD0.0833"</f>
        <v>TARGET CORP COM STK USD0.0833</v>
      </c>
      <c r="C964" s="6">
        <v>1801</v>
      </c>
      <c r="D964" s="6">
        <v>338153.02</v>
      </c>
    </row>
    <row r="965" spans="2:4">
      <c r="B965" s="4" t="str">
        <f>"TAYLOR WIMPEY ORD GBP0.01"</f>
        <v>TAYLOR WIMPEY ORD GBP0.01</v>
      </c>
      <c r="C965" s="6">
        <v>22481</v>
      </c>
      <c r="D965" s="6">
        <v>37003.730000000003</v>
      </c>
    </row>
    <row r="966" spans="2:4">
      <c r="B966" s="4" t="str">
        <f>"TC ENERGY CORPORAT COM NPV"</f>
        <v>TC ENERGY CORPORAT COM NPV</v>
      </c>
      <c r="C966" s="6">
        <v>4237</v>
      </c>
      <c r="D966" s="6">
        <v>148471.94</v>
      </c>
    </row>
    <row r="967" spans="2:4">
      <c r="B967" s="4" t="str">
        <f>"TDK CORP NPV"</f>
        <v>TDK CORP NPV</v>
      </c>
      <c r="C967" s="6">
        <v>500</v>
      </c>
      <c r="D967" s="6">
        <v>40762.58</v>
      </c>
    </row>
    <row r="968" spans="2:4">
      <c r="B968" s="4" t="str">
        <f>"TE CONNECTIVITY LT COM CHF0.57"</f>
        <v>TE CONNECTIVITY LT COM CHF0.57</v>
      </c>
      <c r="C968" s="6">
        <v>995</v>
      </c>
      <c r="D968" s="6">
        <v>105536.48</v>
      </c>
    </row>
    <row r="969" spans="2:4">
      <c r="B969" s="4" t="str">
        <f>"TECHNIP ENERGIES EUR0.01"</f>
        <v>TECHNIP ENERGIES EUR0.01</v>
      </c>
      <c r="C969" s="6">
        <v>1105</v>
      </c>
      <c r="D969" s="6">
        <v>10767.28</v>
      </c>
    </row>
    <row r="970" spans="2:4">
      <c r="B970" s="4" t="str">
        <f>"TECHNIPFMC PLC COM USD1"</f>
        <v>TECHNIPFMC PLC COM USD1</v>
      </c>
      <c r="C970" s="6">
        <v>5525</v>
      </c>
      <c r="D970" s="6">
        <v>28744.15</v>
      </c>
    </row>
    <row r="971" spans="2:4">
      <c r="B971" s="4" t="str">
        <f>"TECK RESOURCES LTD CLASS'B'SUB-VTG COM NPV"</f>
        <v>TECK RESOURCES LTD CLASS'B'SUB-VTG COM NPV</v>
      </c>
      <c r="C971" s="6">
        <v>2265</v>
      </c>
      <c r="D971" s="6">
        <v>37166.160000000003</v>
      </c>
    </row>
    <row r="972" spans="2:4">
      <c r="B972" s="4" t="str">
        <f>"TELE2 AB SHS"</f>
        <v>TELE2 AB SHS</v>
      </c>
      <c r="C972" s="6">
        <v>2795</v>
      </c>
      <c r="D972" s="6">
        <v>29544.12</v>
      </c>
    </row>
    <row r="973" spans="2:4">
      <c r="B973" s="4" t="str">
        <f>"TELECOM ITALIA SPA DI RISP EUR0.55"</f>
        <v>TELECOM ITALIA SPA DI RISP EUR0.55</v>
      </c>
      <c r="C973" s="6">
        <v>98450</v>
      </c>
      <c r="D973" s="6">
        <v>33040.589999999997</v>
      </c>
    </row>
    <row r="974" spans="2:4">
      <c r="B974" s="4" t="str">
        <f>"TELECOM ITALIA SPA EUR0.55"</f>
        <v>TELECOM ITALIA SPA EUR0.55</v>
      </c>
      <c r="C974" s="6">
        <v>199628</v>
      </c>
      <c r="D974" s="6">
        <v>63148.88</v>
      </c>
    </row>
    <row r="975" spans="2:4">
      <c r="B975" s="4" t="str">
        <f>"TELEFONICA SA EUR1"</f>
        <v>TELEFONICA SA EUR1</v>
      </c>
      <c r="C975" s="6">
        <v>83202</v>
      </c>
      <c r="D975" s="6">
        <v>274336.07</v>
      </c>
    </row>
    <row r="976" spans="2:4">
      <c r="B976" s="4" t="str">
        <f>"TELENOR ASA ORD NOK6"</f>
        <v>TELENOR ASA ORD NOK6</v>
      </c>
      <c r="C976" s="6">
        <v>3722</v>
      </c>
      <c r="D976" s="6">
        <v>46481.32</v>
      </c>
    </row>
    <row r="977" spans="2:4">
      <c r="B977" s="4" t="str">
        <f>"TELIA COMPANY AB NPV"</f>
        <v>TELIA COMPANY AB NPV</v>
      </c>
      <c r="C977" s="6">
        <v>25871</v>
      </c>
      <c r="D977" s="6">
        <v>81726.05</v>
      </c>
    </row>
    <row r="978" spans="2:4">
      <c r="B978" s="4" t="str">
        <f>"TELSTRA CORP NPV"</f>
        <v>TELSTRA CORP NPV</v>
      </c>
      <c r="C978" s="6">
        <v>45337</v>
      </c>
      <c r="D978" s="6">
        <v>90601.9</v>
      </c>
    </row>
    <row r="979" spans="2:4">
      <c r="B979" s="4" t="str">
        <f>"TELUS CORPORATION COM NPV"</f>
        <v>TELUS CORPORATION COM NPV</v>
      </c>
      <c r="C979" s="6">
        <v>1814</v>
      </c>
      <c r="D979" s="6">
        <v>28960.98</v>
      </c>
    </row>
    <row r="980" spans="2:4">
      <c r="B980" s="4" t="str">
        <f>"TENET HEALTHCARE COM USD0.05 (POST REV SPLIT"</f>
        <v>TENET HEALTHCARE COM USD0.05 (POST REV SPLIT</v>
      </c>
      <c r="C980" s="6">
        <v>1709</v>
      </c>
      <c r="D980" s="6">
        <v>88304.79</v>
      </c>
    </row>
    <row r="981" spans="2:4">
      <c r="B981" s="4" t="str">
        <f>"TERNA SPA ORD EUR0.22"</f>
        <v>TERNA SPA ORD EUR0.22</v>
      </c>
      <c r="C981" s="6">
        <v>5846</v>
      </c>
      <c r="D981" s="6">
        <v>33425.67</v>
      </c>
    </row>
    <row r="982" spans="2:4">
      <c r="B982" s="4" t="str">
        <f>"TERUMO CORP NPV"</f>
        <v>TERUMO CORP NPV</v>
      </c>
      <c r="C982" s="6">
        <v>900</v>
      </c>
      <c r="D982" s="6">
        <v>24990.35</v>
      </c>
    </row>
    <row r="983" spans="2:4">
      <c r="B983" s="4" t="str">
        <f>"TESCO ORD GBP0.0633333"</f>
        <v>TESCO ORD GBP0.0633333</v>
      </c>
      <c r="C983" s="6">
        <v>58270</v>
      </c>
      <c r="D983" s="6">
        <v>135769.1</v>
      </c>
    </row>
    <row r="984" spans="2:4">
      <c r="B984" s="4" t="s">
        <v>46</v>
      </c>
      <c r="C984" s="6">
        <v>731088</v>
      </c>
      <c r="D984" s="6">
        <v>1703435.04</v>
      </c>
    </row>
    <row r="985" spans="2:4">
      <c r="B985" s="4" t="str">
        <f>"TESLA INC COM USD0.001"</f>
        <v>TESLA INC COM USD0.001</v>
      </c>
      <c r="C985" s="6">
        <v>34</v>
      </c>
      <c r="D985" s="6">
        <v>16804.98</v>
      </c>
    </row>
    <row r="986" spans="2:4">
      <c r="B986" s="4" t="str">
        <f>"TEVA PHARMA IND ILS0.1 (POST CONS)"</f>
        <v>TEVA PHARMA IND ILS0.1 (POST CONS)</v>
      </c>
      <c r="C986" s="6">
        <v>9474</v>
      </c>
      <c r="D986" s="6">
        <v>66880.38</v>
      </c>
    </row>
    <row r="987" spans="2:4">
      <c r="B987" s="4" t="str">
        <f>"TEXAS INSTRUMENTS COM USD1"</f>
        <v>TEXAS INSTRUMENTS COM USD1</v>
      </c>
      <c r="C987" s="6">
        <v>1514</v>
      </c>
      <c r="D987" s="6">
        <v>208516.78999999998</v>
      </c>
    </row>
    <row r="988" spans="2:4">
      <c r="B988" s="4" t="str">
        <f>"THALES EUR3"</f>
        <v>THALES EUR3</v>
      </c>
      <c r="C988" s="6">
        <v>297</v>
      </c>
      <c r="D988" s="6">
        <v>22417.49</v>
      </c>
    </row>
    <row r="989" spans="2:4">
      <c r="B989" s="4" t="str">
        <f>"THE LINK REAL ESTATE INVESTMENT TRUST"</f>
        <v>THE LINK REAL ESTATE INVESTMENT TRUST</v>
      </c>
      <c r="C989" s="6">
        <v>8748</v>
      </c>
      <c r="D989" s="6">
        <v>61357.919999999998</v>
      </c>
    </row>
    <row r="990" spans="2:4">
      <c r="B990" s="4" t="str">
        <f>"THERMO FISHER SCIE COM USD1"</f>
        <v>THERMO FISHER SCIE COM USD1</v>
      </c>
      <c r="C990" s="6">
        <v>434</v>
      </c>
      <c r="D990" s="6">
        <v>168564.99</v>
      </c>
    </row>
    <row r="991" spans="2:4">
      <c r="B991" s="4" t="str">
        <f>"THOMSON-REUTERS CP COM NPV(POST REV SPLIT)"</f>
        <v>THOMSON-REUTERS CP COM NPV(POST REV SPLIT)</v>
      </c>
      <c r="C991" s="6">
        <v>570</v>
      </c>
      <c r="D991" s="6">
        <v>43415.6</v>
      </c>
    </row>
    <row r="992" spans="2:4">
      <c r="B992" s="4" t="str">
        <f>"THYSSENKRUPP AG NPV"</f>
        <v>THYSSENKRUPP AG NPV</v>
      </c>
      <c r="C992" s="6">
        <v>10001</v>
      </c>
      <c r="D992" s="6">
        <v>71717.22</v>
      </c>
    </row>
    <row r="993" spans="2:4">
      <c r="B993" s="4" t="str">
        <f>"TJX COS INC COM USD1"</f>
        <v>TJX COS INC COM USD1</v>
      </c>
      <c r="C993" s="6">
        <v>2721</v>
      </c>
      <c r="D993" s="6">
        <v>134665.38</v>
      </c>
    </row>
    <row r="994" spans="2:4">
      <c r="B994" s="4" t="str">
        <f>"T-MOBILE US INC COM USD0.0001"</f>
        <v>T-MOBILE US INC COM USD0.0001</v>
      </c>
      <c r="C994" s="6">
        <v>1060</v>
      </c>
      <c r="D994" s="6">
        <v>109800.55</v>
      </c>
    </row>
    <row r="995" spans="2:4">
      <c r="B995" s="4" t="str">
        <f>"TOKIO MARINE HLDG NPV"</f>
        <v>TOKIO MARINE HLDG NPV</v>
      </c>
      <c r="C995" s="6">
        <v>3600</v>
      </c>
      <c r="D995" s="6">
        <v>122916.89</v>
      </c>
    </row>
    <row r="996" spans="2:4">
      <c r="B996" s="4" t="str">
        <f>"TOKYO ELEC POWER H NPV"</f>
        <v>TOKYO ELEC POWER H NPV</v>
      </c>
      <c r="C996" s="6">
        <v>23500</v>
      </c>
      <c r="D996" s="6">
        <v>44969.91</v>
      </c>
    </row>
    <row r="997" spans="2:4">
      <c r="B997" s="4" t="str">
        <f>"TOKYO ELECTRON NPV"</f>
        <v>TOKYO ELECTRON NPV</v>
      </c>
      <c r="C997" s="6">
        <v>200</v>
      </c>
      <c r="D997" s="6">
        <v>58876.38</v>
      </c>
    </row>
    <row r="998" spans="2:4">
      <c r="B998" s="4" t="str">
        <f>"TOKYO GAS CO NPV"</f>
        <v>TOKYO GAS CO NPV</v>
      </c>
      <c r="C998" s="6">
        <v>2600</v>
      </c>
      <c r="D998" s="6">
        <v>35407.089999999997</v>
      </c>
    </row>
    <row r="999" spans="2:4">
      <c r="B999" s="4" t="str">
        <f>"TOKYU CORP NPV"</f>
        <v>TOKYU CORP NPV</v>
      </c>
      <c r="C999" s="6">
        <v>2900</v>
      </c>
      <c r="D999" s="6">
        <v>27766.400000000001</v>
      </c>
    </row>
    <row r="1000" spans="2:4">
      <c r="B1000" s="4" t="str">
        <f>"TOPPAN PRINTING CO NPV"</f>
        <v>TOPPAN PRINTING CO NPV</v>
      </c>
      <c r="C1000" s="6">
        <v>2600</v>
      </c>
      <c r="D1000" s="6">
        <v>31505.15</v>
      </c>
    </row>
    <row r="1001" spans="2:4">
      <c r="B1001" s="4" t="str">
        <f>"TORAY INDS INC NPV"</f>
        <v>TORAY INDS INC NPV</v>
      </c>
      <c r="C1001" s="6">
        <v>13400</v>
      </c>
      <c r="D1001" s="6">
        <v>62981.99</v>
      </c>
    </row>
    <row r="1002" spans="2:4">
      <c r="B1002" s="4" t="str">
        <f>"TORONTO-DOMINION COM NPV"</f>
        <v>TORONTO-DOMINION COM NPV</v>
      </c>
      <c r="C1002" s="6">
        <v>8719</v>
      </c>
      <c r="D1002" s="6">
        <v>419675.51999999996</v>
      </c>
    </row>
    <row r="1003" spans="2:4">
      <c r="B1003" s="4" t="str">
        <f>"TOSHIBA CORP NPV"</f>
        <v>TOSHIBA CORP NPV</v>
      </c>
      <c r="C1003" s="6">
        <v>3400</v>
      </c>
      <c r="D1003" s="6">
        <v>107554.84999999999</v>
      </c>
    </row>
    <row r="1004" spans="2:4">
      <c r="B1004" s="4" t="str">
        <f>"TOTALENERGIES SE EUR2.5"</f>
        <v>TOTALENERGIES SE EUR2.5</v>
      </c>
      <c r="C1004" s="6">
        <v>12800</v>
      </c>
      <c r="D1004" s="6">
        <v>400648.33</v>
      </c>
    </row>
    <row r="1005" spans="2:4">
      <c r="B1005" s="4" t="str">
        <f>"TOYOTA INDUSTRIES NPV"</f>
        <v>TOYOTA INDUSTRIES NPV</v>
      </c>
      <c r="C1005" s="6">
        <v>700</v>
      </c>
      <c r="D1005" s="6">
        <v>41929.1</v>
      </c>
    </row>
    <row r="1006" spans="2:4">
      <c r="B1006" s="4" t="str">
        <f>"TOYOTA MOTOR CORP NPV"</f>
        <v>TOYOTA MOTOR CORP NPV</v>
      </c>
      <c r="C1006" s="6">
        <v>8600</v>
      </c>
      <c r="D1006" s="6">
        <v>552608.27</v>
      </c>
    </row>
    <row r="1007" spans="2:4">
      <c r="B1007" s="4" t="str">
        <f>"TOYOTA TSUSHO CORP NPV"</f>
        <v>TOYOTA TSUSHO CORP NPV</v>
      </c>
      <c r="C1007" s="6">
        <v>1000</v>
      </c>
      <c r="D1007" s="6">
        <v>33684.839999999997</v>
      </c>
    </row>
    <row r="1008" spans="2:4">
      <c r="B1008" s="4" t="s">
        <v>47</v>
      </c>
      <c r="C1008" s="6">
        <v>663262</v>
      </c>
      <c r="D1008" s="6">
        <v>1297605.78</v>
      </c>
    </row>
    <row r="1009" spans="2:4">
      <c r="B1009" s="4" t="str">
        <f>"TRANE TECHNOLOGIES COM USD1"</f>
        <v>TRANE TECHNOLOGIES COM USD1</v>
      </c>
      <c r="C1009" s="6">
        <v>626</v>
      </c>
      <c r="D1009" s="6">
        <v>91674.66</v>
      </c>
    </row>
    <row r="1010" spans="2:4">
      <c r="B1010" s="4" t="str">
        <f>"TRANSDIGM GROUP INC COM"</f>
        <v>TRANSDIGM GROUP INC COM</v>
      </c>
      <c r="C1010" s="6">
        <v>109</v>
      </c>
      <c r="D1010" s="6">
        <v>50259.87</v>
      </c>
    </row>
    <row r="1011" spans="2:4">
      <c r="B1011" s="4" t="str">
        <f>"TRANSOCEAN LTD COM CHF0.10"</f>
        <v>TRANSOCEAN LTD COM CHF0.10</v>
      </c>
      <c r="C1011" s="6">
        <v>22318</v>
      </c>
      <c r="D1011" s="6">
        <v>57947.98</v>
      </c>
    </row>
    <row r="1012" spans="2:4">
      <c r="B1012" s="4" t="str">
        <f>"TRANSURBAN GROUP STAPLED UNITS NPV"</f>
        <v>TRANSURBAN GROUP STAPLED UNITS NPV</v>
      </c>
      <c r="C1012" s="6">
        <v>4778</v>
      </c>
      <c r="D1012" s="6">
        <v>36665.360000000001</v>
      </c>
    </row>
    <row r="1013" spans="2:4">
      <c r="B1013" s="4" t="str">
        <f>"TRAVELERS CO INC COM NPV"</f>
        <v>TRAVELERS CO INC COM NPV</v>
      </c>
      <c r="C1013" s="6">
        <v>1583</v>
      </c>
      <c r="D1013" s="6">
        <v>169554.69</v>
      </c>
    </row>
    <row r="1014" spans="2:4">
      <c r="B1014" s="4" t="str">
        <f>"TRAVIS PERKINS ORD GBP0.11205105"</f>
        <v>TRAVIS PERKINS ORD GBP0.11205105</v>
      </c>
      <c r="C1014" s="6">
        <v>1879</v>
      </c>
      <c r="D1014" s="6">
        <v>31989.98</v>
      </c>
    </row>
    <row r="1015" spans="2:4">
      <c r="B1015" s="4" t="str">
        <f>"TRUIST FINL CORP COM USD5"</f>
        <v>TRUIST FINL CORP COM USD5</v>
      </c>
      <c r="C1015" s="6">
        <v>4463</v>
      </c>
      <c r="D1015" s="6">
        <v>174719.38</v>
      </c>
    </row>
    <row r="1016" spans="2:4">
      <c r="B1016" s="4" t="str">
        <f>"TUI AG NPV (REGD)"</f>
        <v>TUI AG NPV (REGD)</v>
      </c>
      <c r="C1016" s="6">
        <v>15492</v>
      </c>
      <c r="D1016" s="6">
        <v>52533.37</v>
      </c>
    </row>
    <row r="1017" spans="2:4">
      <c r="B1017" s="4" t="str">
        <f>"TYSON FOODS INC CL A"</f>
        <v>TYSON FOODS INC CL A</v>
      </c>
      <c r="C1017" s="6">
        <v>1873</v>
      </c>
      <c r="D1017" s="6">
        <v>96266.82</v>
      </c>
    </row>
    <row r="1018" spans="2:4">
      <c r="B1018" s="4" t="str">
        <f>"UBER TECHNOLOGIES COM USD0.00001"</f>
        <v>UBER TECHNOLOGIES COM USD0.00001</v>
      </c>
      <c r="C1018" s="6">
        <v>631</v>
      </c>
      <c r="D1018" s="6">
        <v>19724</v>
      </c>
    </row>
    <row r="1019" spans="2:4">
      <c r="B1019" s="4" t="str">
        <f>"UBS GROUP CHF0.10 (REGD)"</f>
        <v>UBS GROUP CHF0.10 (REGD)</v>
      </c>
      <c r="C1019" s="6">
        <v>24422</v>
      </c>
      <c r="D1019" s="6">
        <v>289558.09000000003</v>
      </c>
    </row>
    <row r="1020" spans="2:4">
      <c r="B1020" s="4" t="str">
        <f>"UCB NPV"</f>
        <v>UCB NPV</v>
      </c>
      <c r="C1020" s="6">
        <v>176</v>
      </c>
      <c r="D1020" s="6">
        <v>13689.73</v>
      </c>
    </row>
    <row r="1021" spans="2:4">
      <c r="B1021" s="4" t="str">
        <f>"UGI CORP NEW COM"</f>
        <v>UGI CORP NEW COM</v>
      </c>
      <c r="C1021" s="6">
        <v>1004</v>
      </c>
      <c r="D1021" s="6">
        <v>33210.31</v>
      </c>
    </row>
    <row r="1022" spans="2:4">
      <c r="B1022" s="4" t="str">
        <f>"UMICORE NPV"</f>
        <v>UMICORE NPV</v>
      </c>
      <c r="C1022" s="6">
        <v>592</v>
      </c>
      <c r="D1022" s="6">
        <v>26396.39</v>
      </c>
    </row>
    <row r="1023" spans="2:4">
      <c r="B1023" s="4" t="str">
        <f>"UNIBAIL-RODAMCO-WE NPV(1 ORD UNIBAIL-R &amp; 1CLS)"</f>
        <v>UNIBAIL-RODAMCO-WE NPV(1 ORD UNIBAIL-R &amp; 1CLS)</v>
      </c>
      <c r="C1023" s="6">
        <v>2156</v>
      </c>
      <c r="D1023" s="6">
        <v>129029.06</v>
      </c>
    </row>
    <row r="1024" spans="2:4">
      <c r="B1024" s="4" t="str">
        <f>"UNICREDIT SPA NPV (POST REV SPLIT)"</f>
        <v>UNICREDIT SPA NPV (POST REV SPLIT)</v>
      </c>
      <c r="C1024" s="6">
        <v>30991</v>
      </c>
      <c r="D1024" s="6">
        <v>267170.27</v>
      </c>
    </row>
    <row r="1025" spans="2:4">
      <c r="B1025" s="4" t="str">
        <f>"UNILEVER PLC ORD GBP0.031111"</f>
        <v>UNILEVER PLC ORD GBP0.031111</v>
      </c>
      <c r="C1025" s="6">
        <v>3999</v>
      </c>
      <c r="D1025" s="6">
        <v>165724.07999999999</v>
      </c>
    </row>
    <row r="1026" spans="2:4">
      <c r="B1026" s="4" t="str">
        <f>"UNILEVER PLC ORD GBP0.031111"</f>
        <v>UNILEVER PLC ORD GBP0.031111</v>
      </c>
      <c r="C1026" s="6">
        <v>3399</v>
      </c>
      <c r="D1026" s="6">
        <v>141092.49</v>
      </c>
    </row>
    <row r="1027" spans="2:4">
      <c r="B1027" s="4" t="str">
        <f>"UNION PACIFIC CORP COM USD2.50"</f>
        <v>UNION PACIFIC CORP COM USD2.50</v>
      </c>
      <c r="C1027" s="6">
        <v>1572</v>
      </c>
      <c r="D1027" s="6">
        <v>247341.12</v>
      </c>
    </row>
    <row r="1028" spans="2:4">
      <c r="B1028" s="4" t="str">
        <f>"UNIPER SE NPV"</f>
        <v>UNIPER SE NPV</v>
      </c>
      <c r="C1028" s="6">
        <v>1102</v>
      </c>
      <c r="D1028" s="6">
        <v>30968.799999999999</v>
      </c>
    </row>
    <row r="1029" spans="2:4">
      <c r="B1029" s="4" t="str">
        <f>"UNITED AIRLINES HO COM USD0.01"</f>
        <v>UNITED AIRLINES HO COM USD0.01</v>
      </c>
      <c r="C1029" s="6">
        <v>1125</v>
      </c>
      <c r="D1029" s="6">
        <v>37803.43</v>
      </c>
    </row>
    <row r="1030" spans="2:4">
      <c r="B1030" s="4" t="str">
        <f>"UNITED NAT FOODS INC COM"</f>
        <v>UNITED NAT FOODS INC COM</v>
      </c>
      <c r="C1030" s="6">
        <v>461</v>
      </c>
      <c r="D1030" s="6">
        <v>10981.64</v>
      </c>
    </row>
    <row r="1031" spans="2:4">
      <c r="B1031" s="4" t="str">
        <f>"UNITED PARCEL SERVICE INC CL B"</f>
        <v>UNITED PARCEL SERVICE INC CL B</v>
      </c>
      <c r="C1031" s="6">
        <v>1945</v>
      </c>
      <c r="D1031" s="6">
        <v>267698.92</v>
      </c>
    </row>
    <row r="1032" spans="2:4">
      <c r="B1032" s="4" t="str">
        <f>"UNITED RENTALS INC COM"</f>
        <v>UNITED RENTALS INC COM</v>
      </c>
      <c r="C1032" s="6">
        <v>344</v>
      </c>
      <c r="D1032" s="6">
        <v>81537.17</v>
      </c>
    </row>
    <row r="1033" spans="2:4">
      <c r="B1033" s="4" t="str">
        <f>"UNITED STATES STL CORP NEW COM"</f>
        <v>UNITED STATES STL CORP NEW COM</v>
      </c>
      <c r="C1033" s="6">
        <v>2926</v>
      </c>
      <c r="D1033" s="6">
        <v>55727.32</v>
      </c>
    </row>
    <row r="1034" spans="2:4">
      <c r="B1034" s="4" t="str">
        <f>"UNITED UTILITIES G ORD GBP0.05"</f>
        <v>UNITED UTILITIES G ORD GBP0.05</v>
      </c>
      <c r="C1034" s="6">
        <v>4263</v>
      </c>
      <c r="D1034" s="6">
        <v>46971.009999999995</v>
      </c>
    </row>
    <row r="1035" spans="2:4">
      <c r="B1035" s="4" t="str">
        <f>"UNITEDHEALTH GRP COM USD0.01"</f>
        <v>UNITEDHEALTH GRP COM USD0.01</v>
      </c>
      <c r="C1035" s="6">
        <v>2385</v>
      </c>
      <c r="D1035" s="6">
        <v>707120.29</v>
      </c>
    </row>
    <row r="1036" spans="2:4">
      <c r="B1036" s="4" t="str">
        <f>"UNIVERSAL HEALTH S CLASS'B'COM USD0.01"</f>
        <v>UNIVERSAL HEALTH S CLASS'B'COM USD0.01</v>
      </c>
      <c r="C1036" s="6">
        <v>289</v>
      </c>
      <c r="D1036" s="6">
        <v>33343.040000000001</v>
      </c>
    </row>
    <row r="1037" spans="2:4">
      <c r="B1037" s="4" t="str">
        <f>"UNUM GROUP COM USD0.10"</f>
        <v>UNUM GROUP COM USD0.10</v>
      </c>
      <c r="C1037" s="6">
        <v>2603</v>
      </c>
      <c r="D1037" s="6">
        <v>51775.42</v>
      </c>
    </row>
    <row r="1038" spans="2:4">
      <c r="B1038" s="4" t="str">
        <f>"UPM-KYMMENE CORP NPV"</f>
        <v>UPM-KYMMENE CORP NPV</v>
      </c>
      <c r="C1038" s="6">
        <v>3238</v>
      </c>
      <c r="D1038" s="6">
        <v>95110.24</v>
      </c>
    </row>
    <row r="1039" spans="2:4">
      <c r="B1039" s="4" t="str">
        <f>"US BANCORP COM USD0.01"</f>
        <v>US BANCORP COM USD0.01</v>
      </c>
      <c r="C1039" s="6">
        <v>7108</v>
      </c>
      <c r="D1039" s="6">
        <v>283941.68</v>
      </c>
    </row>
    <row r="1040" spans="2:4">
      <c r="B1040" s="4" t="str">
        <f>"US FOODS HLDG CORP COM USD0.01"</f>
        <v>US FOODS HLDG CORP COM USD0.01</v>
      </c>
      <c r="C1040" s="6">
        <v>2601</v>
      </c>
      <c r="D1040" s="6">
        <v>64241.62</v>
      </c>
    </row>
    <row r="1041" spans="2:4">
      <c r="B1041" s="4" t="str">
        <f>"UTD O/S BANK SGD1"</f>
        <v>UTD O/S BANK SGD1</v>
      </c>
      <c r="C1041" s="6">
        <v>5000</v>
      </c>
      <c r="D1041" s="6">
        <v>69794.39</v>
      </c>
    </row>
    <row r="1042" spans="2:4">
      <c r="B1042" s="4" t="str">
        <f>"VALEO EUR1 (POST SUBD)"</f>
        <v>VALEO EUR1 (POST SUBD)</v>
      </c>
      <c r="C1042" s="6">
        <v>2622</v>
      </c>
      <c r="D1042" s="6">
        <v>54519.73</v>
      </c>
    </row>
    <row r="1043" spans="2:4">
      <c r="B1043" s="4" t="str">
        <f>"VALERO ENERGY CORP NEW COM"</f>
        <v>VALERO ENERGY CORP NEW COM</v>
      </c>
      <c r="C1043" s="6">
        <v>2949</v>
      </c>
      <c r="D1043" s="6">
        <v>142046.63</v>
      </c>
    </row>
    <row r="1044" spans="2:4">
      <c r="B1044" s="4" t="str">
        <f>"VENTAS INC REIT"</f>
        <v>VENTAS INC REIT</v>
      </c>
      <c r="C1044" s="6">
        <v>2028</v>
      </c>
      <c r="D1044" s="6">
        <v>87196.63</v>
      </c>
    </row>
    <row r="1045" spans="2:4">
      <c r="B1045" s="4" t="str">
        <f>"VEOLIA ENVIRONNEME EUR5"</f>
        <v>VEOLIA ENVIRONNEME EUR5</v>
      </c>
      <c r="C1045" s="6">
        <v>4231</v>
      </c>
      <c r="D1045" s="6">
        <v>99884.11</v>
      </c>
    </row>
    <row r="1046" spans="2:4">
      <c r="B1046" s="4" t="str">
        <f>"VEREIT INC COM USD0.01(POST REV SPLIT)"</f>
        <v>VEREIT INC COM USD0.01(POST REV SPLIT)</v>
      </c>
      <c r="C1046" s="6">
        <v>1362</v>
      </c>
      <c r="D1046" s="6">
        <v>47971.47</v>
      </c>
    </row>
    <row r="1047" spans="2:4">
      <c r="B1047" s="4" t="str">
        <f>"VERIZON COMMUN COM USD0.10"</f>
        <v>VERIZON COMMUN COM USD0.10</v>
      </c>
      <c r="C1047" s="6">
        <v>23019</v>
      </c>
      <c r="D1047" s="6">
        <v>932339.03999999992</v>
      </c>
    </row>
    <row r="1048" spans="2:4">
      <c r="B1048" s="4" t="str">
        <f>"VESTAS WIND SYSTEM DKK0.20 (POST SPLIT)"</f>
        <v>VESTAS WIND SYSTEM DKK0.20 (POST SPLIT)</v>
      </c>
      <c r="C1048" s="6">
        <v>1765</v>
      </c>
      <c r="D1048" s="6">
        <v>46788.6</v>
      </c>
    </row>
    <row r="1049" spans="2:4">
      <c r="B1049" s="4" t="str">
        <f>"VF CORP COM NPV"</f>
        <v>VF CORP COM NPV</v>
      </c>
      <c r="C1049" s="6">
        <v>746</v>
      </c>
      <c r="D1049" s="6">
        <v>43031.75</v>
      </c>
    </row>
    <row r="1050" spans="2:4">
      <c r="B1050" s="4" t="str">
        <f>"VIACOMCBS INC COM USD0.001 CL B"</f>
        <v>VIACOMCBS INC COM USD0.001 CL B</v>
      </c>
      <c r="C1050" s="6">
        <v>2101</v>
      </c>
      <c r="D1050" s="6">
        <v>61850.559999999998</v>
      </c>
    </row>
    <row r="1051" spans="2:4">
      <c r="B1051" s="4" t="str">
        <f>"VIATRIS INC COM USD0.01"</f>
        <v>VIATRIS INC COM USD0.01</v>
      </c>
      <c r="C1051" s="6">
        <v>7411</v>
      </c>
      <c r="D1051" s="6">
        <v>74997.5</v>
      </c>
    </row>
    <row r="1052" spans="2:4">
      <c r="B1052" s="4" t="s">
        <v>24</v>
      </c>
      <c r="C1052" s="6">
        <v>5894</v>
      </c>
      <c r="D1052" s="6">
        <v>59645.83</v>
      </c>
    </row>
    <row r="1053" spans="2:4">
      <c r="B1053" s="4" t="str">
        <f>"VICI PPTYS INC COM USD0.01"</f>
        <v>VICI PPTYS INC COM USD0.01</v>
      </c>
      <c r="C1053" s="6">
        <v>520</v>
      </c>
      <c r="D1053" s="6">
        <v>11665.26</v>
      </c>
    </row>
    <row r="1054" spans="2:4">
      <c r="B1054" s="4" t="str">
        <f>"VINCI EUR2.50"</f>
        <v>VINCI EUR2.50</v>
      </c>
      <c r="C1054" s="6">
        <v>2301</v>
      </c>
      <c r="D1054" s="6">
        <v>175072.31</v>
      </c>
    </row>
    <row r="1055" spans="2:4">
      <c r="B1055" s="4" t="str">
        <f>"VISA INC COM STK USD0.0001"</f>
        <v>VISA INC COM STK USD0.0001</v>
      </c>
      <c r="C1055" s="6">
        <v>1042</v>
      </c>
      <c r="D1055" s="6">
        <v>184657.37</v>
      </c>
    </row>
    <row r="1056" spans="2:4">
      <c r="B1056" s="4" t="str">
        <f>"VISTRA CORP COM USD0.01"</f>
        <v>VISTRA CORP COM USD0.01</v>
      </c>
      <c r="C1056" s="6">
        <v>2847</v>
      </c>
      <c r="D1056" s="6">
        <v>39213.18</v>
      </c>
    </row>
    <row r="1057" spans="2:4">
      <c r="B1057" s="4" t="str">
        <f>"VIVENDI SA EUR5.50"</f>
        <v>VIVENDI SA EUR5.50</v>
      </c>
      <c r="C1057" s="6">
        <v>3953</v>
      </c>
      <c r="D1057" s="6">
        <v>96085.75</v>
      </c>
    </row>
    <row r="1058" spans="2:4">
      <c r="B1058" s="4" t="str">
        <f>"VODAFONE GROUP ORD USD0.2095238(POST CONS)"</f>
        <v>VODAFONE GROUP ORD USD0.2095238(POST CONS)</v>
      </c>
      <c r="C1058" s="6">
        <v>240410</v>
      </c>
      <c r="D1058" s="6">
        <v>288561.60000000003</v>
      </c>
    </row>
    <row r="1059" spans="2:4">
      <c r="B1059" s="4" t="s">
        <v>5</v>
      </c>
      <c r="C1059" s="6">
        <v>937683</v>
      </c>
      <c r="D1059" s="6">
        <v>1089400.1100000001</v>
      </c>
    </row>
    <row r="1060" spans="2:4">
      <c r="B1060" s="4" t="str">
        <f>"VOESTALPINE AG NPV"</f>
        <v>VOESTALPINE AG NPV</v>
      </c>
      <c r="C1060" s="6">
        <v>1053</v>
      </c>
      <c r="D1060" s="6">
        <v>33390.660000000003</v>
      </c>
    </row>
    <row r="1061" spans="2:4">
      <c r="B1061" s="4" t="str">
        <f>"VOLKSWAGEN AG NON VTG PRF NPV"</f>
        <v>VOLKSWAGEN AG NON VTG PRF NPV</v>
      </c>
      <c r="C1061" s="6">
        <v>2212</v>
      </c>
      <c r="D1061" s="6">
        <v>387689.69</v>
      </c>
    </row>
    <row r="1062" spans="2:4">
      <c r="B1062" s="4" t="str">
        <f>"VOLKSWAGEN AG ORD NPV"</f>
        <v>VOLKSWAGEN AG ORD NPV</v>
      </c>
      <c r="C1062" s="6">
        <v>355</v>
      </c>
      <c r="D1062" s="6">
        <v>84776.15</v>
      </c>
    </row>
    <row r="1063" spans="2:4">
      <c r="B1063" s="4" t="str">
        <f>"VOLVO AB SER'B'NPV (POST SPLIT)"</f>
        <v>VOLVO AB SER'B'NPV (POST SPLIT)</v>
      </c>
      <c r="C1063" s="6">
        <v>7451</v>
      </c>
      <c r="D1063" s="6">
        <v>126283.27</v>
      </c>
    </row>
    <row r="1064" spans="2:4">
      <c r="B1064" s="4" t="str">
        <f>"VONOVIA SE NPV"</f>
        <v>VONOVIA SE NPV</v>
      </c>
      <c r="C1064" s="6">
        <v>1704</v>
      </c>
      <c r="D1064" s="6">
        <v>81646.7</v>
      </c>
    </row>
    <row r="1065" spans="2:4">
      <c r="B1065" s="4" t="str">
        <f>"VORNADO REALTY TR COM USD0.04"</f>
        <v>VORNADO REALTY TR COM USD0.04</v>
      </c>
      <c r="C1065" s="6">
        <v>1241</v>
      </c>
      <c r="D1065" s="6">
        <v>38827.269999999997</v>
      </c>
    </row>
    <row r="1066" spans="2:4">
      <c r="B1066" s="4" t="str">
        <f>"VOYA FINL INC COM USD0.01"</f>
        <v>VOYA FINL INC COM USD0.01</v>
      </c>
      <c r="C1066" s="6">
        <v>1170</v>
      </c>
      <c r="D1066" s="6">
        <v>54193.55</v>
      </c>
    </row>
    <row r="1067" spans="2:4">
      <c r="B1067" s="4" t="str">
        <f>"VULCAN MATERIALS COM STK USD1"</f>
        <v>VULCAN MATERIALS COM STK USD1</v>
      </c>
      <c r="C1067" s="6">
        <v>111</v>
      </c>
      <c r="D1067" s="6">
        <v>14369.68</v>
      </c>
    </row>
    <row r="1068" spans="2:4">
      <c r="B1068" s="4" t="str">
        <f>"W P CAREY INC COM USD0.001"</f>
        <v>W P CAREY INC COM USD0.001</v>
      </c>
      <c r="C1068" s="6">
        <v>654</v>
      </c>
      <c r="D1068" s="6">
        <v>37955.379999999997</v>
      </c>
    </row>
    <row r="1069" spans="2:4">
      <c r="B1069" s="4" t="str">
        <f>"WABTEC CORP COM"</f>
        <v>WABTEC CORP COM</v>
      </c>
      <c r="C1069" s="6">
        <v>212</v>
      </c>
      <c r="D1069" s="6">
        <v>12940.94</v>
      </c>
    </row>
    <row r="1070" spans="2:4">
      <c r="B1070" s="4" t="str">
        <f>"WALGREENS BOOTS AL COM USD0.01"</f>
        <v>WALGREENS BOOTS AL COM USD0.01</v>
      </c>
      <c r="C1070" s="6">
        <v>7806</v>
      </c>
      <c r="D1070" s="6">
        <v>264719.59999999998</v>
      </c>
    </row>
    <row r="1071" spans="2:4">
      <c r="B1071" s="4" t="str">
        <f>"WALMART INC COM USD0.10"</f>
        <v>WALMART INC COM USD0.10</v>
      </c>
      <c r="C1071" s="6">
        <v>6442</v>
      </c>
      <c r="D1071" s="6">
        <v>660486.28</v>
      </c>
    </row>
    <row r="1072" spans="2:4">
      <c r="B1072" s="4" t="str">
        <f>"WALT DISNEY CO. DISNEY COM USD0.01"</f>
        <v>WALT DISNEY CO. DISNEY COM USD0.01</v>
      </c>
      <c r="C1072" s="6">
        <v>3678</v>
      </c>
      <c r="D1072" s="6">
        <v>465639.27</v>
      </c>
    </row>
    <row r="1073" spans="2:4">
      <c r="B1073" s="4" t="str">
        <f>"WASTE CONNECTIONS COM NPV (POST REV SPLT)"</f>
        <v>WASTE CONNECTIONS COM NPV (POST REV SPLT)</v>
      </c>
      <c r="C1073" s="6">
        <v>400</v>
      </c>
      <c r="D1073" s="6">
        <v>36424.53</v>
      </c>
    </row>
    <row r="1074" spans="2:4">
      <c r="B1074" s="4" t="str">
        <f>"WASTE MGMT INC DEL COM"</f>
        <v>WASTE MGMT INC DEL COM</v>
      </c>
      <c r="C1074" s="6">
        <v>1020</v>
      </c>
      <c r="D1074" s="6">
        <v>108767.72</v>
      </c>
    </row>
    <row r="1075" spans="2:4">
      <c r="B1075" s="4" t="str">
        <f>"WEC ENERGY GROUP COM USD0.01"</f>
        <v>WEC ENERGY GROUP COM USD0.01</v>
      </c>
      <c r="C1075" s="6">
        <v>1195</v>
      </c>
      <c r="D1075" s="6">
        <v>80912.94</v>
      </c>
    </row>
    <row r="1076" spans="2:4">
      <c r="B1076" s="4" t="str">
        <f>"WELLS FARGO &amp; CO COM USD1 2/3"</f>
        <v>WELLS FARGO &amp; CO COM USD1 2/3</v>
      </c>
      <c r="C1076" s="6">
        <v>40237</v>
      </c>
      <c r="D1076" s="6">
        <v>1329512.55</v>
      </c>
    </row>
    <row r="1077" spans="2:4">
      <c r="B1077" s="4" t="str">
        <f>"WELLTOWER INC COM USD1"</f>
        <v>WELLTOWER INC COM USD1</v>
      </c>
      <c r="C1077" s="6">
        <v>1784</v>
      </c>
      <c r="D1077" s="6">
        <v>111452.68</v>
      </c>
    </row>
    <row r="1078" spans="2:4">
      <c r="B1078" s="4" t="str">
        <f>"WESFARMERS LTD NPV"</f>
        <v>WESFARMERS LTD NPV</v>
      </c>
      <c r="C1078" s="6">
        <v>3346</v>
      </c>
      <c r="D1078" s="6">
        <v>108154.38</v>
      </c>
    </row>
    <row r="1079" spans="2:4">
      <c r="B1079" s="4" t="str">
        <f>"WEST JAPAN RAILWAY NPV"</f>
        <v>WEST JAPAN RAILWAY NPV</v>
      </c>
      <c r="C1079" s="6">
        <v>1300</v>
      </c>
      <c r="D1079" s="6">
        <v>50409.95</v>
      </c>
    </row>
    <row r="1080" spans="2:4">
      <c r="B1080" s="4" t="str">
        <f>"WESTERN DIGITAL CORP COM"</f>
        <v>WESTERN DIGITAL CORP COM</v>
      </c>
      <c r="C1080" s="6">
        <v>2364</v>
      </c>
      <c r="D1080" s="6">
        <v>110399.91</v>
      </c>
    </row>
    <row r="1081" spans="2:4">
      <c r="B1081" s="4" t="str">
        <f>"WESTERN UN CO COM"</f>
        <v>WESTERN UN CO COM</v>
      </c>
      <c r="C1081" s="6">
        <v>1432</v>
      </c>
      <c r="D1081" s="6">
        <v>23905.29</v>
      </c>
    </row>
    <row r="1082" spans="2:4">
      <c r="B1082" s="4" t="str">
        <f>"WESTON GEORGE LTD COM"</f>
        <v>WESTON GEORGE LTD COM</v>
      </c>
      <c r="C1082" s="6">
        <v>518</v>
      </c>
      <c r="D1082" s="6">
        <v>38613.25</v>
      </c>
    </row>
    <row r="1083" spans="2:4">
      <c r="B1083" s="4" t="str">
        <f>"WESTPAC BKG CORP NPV"</f>
        <v>WESTPAC BKG CORP NPV</v>
      </c>
      <c r="C1083" s="6">
        <v>15485</v>
      </c>
      <c r="D1083" s="6">
        <v>200735.61</v>
      </c>
    </row>
    <row r="1084" spans="2:4">
      <c r="B1084" s="4" t="str">
        <f>"WESTROCK CO COM USD0.01"</f>
        <v>WESTROCK CO COM USD0.01</v>
      </c>
      <c r="C1084" s="6">
        <v>1998</v>
      </c>
      <c r="D1084" s="6">
        <v>70717.14</v>
      </c>
    </row>
    <row r="1085" spans="2:4">
      <c r="B1085" s="4" t="str">
        <f>"WEYERHAEUSER CO COM USD1.25"</f>
        <v>WEYERHAEUSER CO COM USD1.25</v>
      </c>
      <c r="C1085" s="6">
        <v>2798</v>
      </c>
      <c r="D1085" s="6">
        <v>67879.7</v>
      </c>
    </row>
    <row r="1086" spans="2:4">
      <c r="B1086" s="4" t="str">
        <f>"WH GROUP LTD USD0.0001"</f>
        <v>WH GROUP LTD USD0.0001</v>
      </c>
      <c r="C1086" s="6">
        <v>57000</v>
      </c>
      <c r="D1086" s="6">
        <v>33974.14</v>
      </c>
    </row>
    <row r="1087" spans="2:4">
      <c r="B1087" s="4" t="str">
        <f>"WHARF REAL ESTATE HKD0.1"</f>
        <v>WHARF REAL ESTATE HKD0.1</v>
      </c>
      <c r="C1087" s="6">
        <v>8000</v>
      </c>
      <c r="D1087" s="6">
        <v>32467.39</v>
      </c>
    </row>
    <row r="1088" spans="2:4">
      <c r="B1088" s="4" t="str">
        <f>"WHIRLPOOL CORP COM"</f>
        <v>WHIRLPOOL CORP COM</v>
      </c>
      <c r="C1088" s="6">
        <v>439</v>
      </c>
      <c r="D1088" s="6">
        <v>69950.77</v>
      </c>
    </row>
    <row r="1089" spans="2:4">
      <c r="B1089" s="4" t="str">
        <f>"WHITBREAD ORD GBP0.76797385"</f>
        <v>WHITBREAD ORD GBP0.76797385</v>
      </c>
      <c r="C1089" s="6">
        <v>879</v>
      </c>
      <c r="D1089" s="6">
        <v>26774.34</v>
      </c>
    </row>
    <row r="1090" spans="2:4">
      <c r="B1090" s="4" t="str">
        <f>"WICKES GROUP PLC ORD GBP0.1"</f>
        <v>WICKES GROUP PLC ORD GBP0.1</v>
      </c>
      <c r="C1090" s="6">
        <v>2106</v>
      </c>
      <c r="D1090" s="6">
        <v>5273.42</v>
      </c>
    </row>
    <row r="1091" spans="2:4">
      <c r="B1091" s="4" t="str">
        <f>"WILLIAMS COS INC COM USD1"</f>
        <v>WILLIAMS COS INC COM USD1</v>
      </c>
      <c r="C1091" s="6">
        <v>6476</v>
      </c>
      <c r="D1091" s="6">
        <v>116678.39</v>
      </c>
    </row>
    <row r="1092" spans="2:4">
      <c r="B1092" s="4" t="str">
        <f>"WILLIS TOWERS WATS COM USD0.000304635"</f>
        <v>WILLIS TOWERS WATS COM USD0.000304635</v>
      </c>
      <c r="C1092" s="6">
        <v>276</v>
      </c>
      <c r="D1092" s="6">
        <v>40909.18</v>
      </c>
    </row>
    <row r="1093" spans="2:4">
      <c r="B1093" s="4" t="str">
        <f>"WOLTERS KLUWER EUR0.12"</f>
        <v>WOLTERS KLUWER EUR0.12</v>
      </c>
      <c r="C1093" s="6">
        <v>589</v>
      </c>
      <c r="D1093" s="6">
        <v>48265.36</v>
      </c>
    </row>
    <row r="1094" spans="2:4">
      <c r="B1094" s="4" t="str">
        <f>"WOODSIDE PETROLEUM NPV"</f>
        <v>WOODSIDE PETROLEUM NPV</v>
      </c>
      <c r="C1094" s="6">
        <v>4701</v>
      </c>
      <c r="D1094" s="6">
        <v>54453.45</v>
      </c>
    </row>
    <row r="1095" spans="2:4">
      <c r="B1095" s="4" t="str">
        <f>"WOOLWORTHS GRP LTD NPV"</f>
        <v>WOOLWORTHS GRP LTD NPV</v>
      </c>
      <c r="C1095" s="6">
        <v>4367</v>
      </c>
      <c r="D1095" s="6">
        <v>89486.95</v>
      </c>
    </row>
    <row r="1096" spans="2:4">
      <c r="B1096" s="4" t="str">
        <f>"WOORI FINANCIAL GR KRW5000"</f>
        <v>WOORI FINANCIAL GR KRW5000</v>
      </c>
      <c r="C1096" s="6">
        <v>2623</v>
      </c>
      <c r="D1096" s="6">
        <v>17987.460000000003</v>
      </c>
    </row>
    <row r="1097" spans="2:4">
      <c r="B1097" s="4" t="str">
        <f>"WPP PLC ORD GBP0.10"</f>
        <v>WPP PLC ORD GBP0.10</v>
      </c>
      <c r="C1097" s="6">
        <v>11638</v>
      </c>
      <c r="D1097" s="6">
        <v>108233.4</v>
      </c>
    </row>
    <row r="1098" spans="2:4">
      <c r="B1098" s="4" t="s">
        <v>31</v>
      </c>
      <c r="C1098" s="6">
        <v>234505</v>
      </c>
      <c r="D1098" s="6">
        <v>2180896.5</v>
      </c>
    </row>
    <row r="1099" spans="2:4">
      <c r="B1099" s="4" t="str">
        <f>"WYNN RESORTS LTD COM"</f>
        <v>WYNN RESORTS LTD COM</v>
      </c>
      <c r="C1099" s="6">
        <v>364</v>
      </c>
      <c r="D1099" s="6">
        <v>25743.24</v>
      </c>
    </row>
    <row r="1100" spans="2:4">
      <c r="B1100" s="4" t="str">
        <f>"XCEL ENERGY INC COM"</f>
        <v>XCEL ENERGY INC COM</v>
      </c>
      <c r="C1100" s="6">
        <v>2174</v>
      </c>
      <c r="D1100" s="6">
        <v>106718.09</v>
      </c>
    </row>
    <row r="1101" spans="2:4">
      <c r="B1101" s="4" t="str">
        <f>"XEROX HLDGS CORP COM USD1.00"</f>
        <v>XEROX HLDGS CORP COM USD1.00</v>
      </c>
      <c r="C1101" s="6">
        <v>1527</v>
      </c>
      <c r="D1101" s="6">
        <v>26735</v>
      </c>
    </row>
    <row r="1102" spans="2:4">
      <c r="B1102" s="4" t="str">
        <f>"XILINX INC COM USD0.01"</f>
        <v>XILINX INC COM USD0.01</v>
      </c>
      <c r="C1102" s="6">
        <v>379</v>
      </c>
      <c r="D1102" s="6">
        <v>40845.370000000003</v>
      </c>
    </row>
    <row r="1103" spans="2:4">
      <c r="B1103" s="4" t="str">
        <f>"XPO LOGISTICS INC COM USD0.001"</f>
        <v>XPO LOGISTICS INC COM USD0.001</v>
      </c>
      <c r="C1103" s="6">
        <v>434</v>
      </c>
      <c r="D1103" s="6">
        <v>43292.31</v>
      </c>
    </row>
    <row r="1104" spans="2:4">
      <c r="B1104" s="4" t="str">
        <f>"YAMAHA MOTOR CO NPV"</f>
        <v>YAMAHA MOTOR CO NPV</v>
      </c>
      <c r="C1104" s="6">
        <v>2300</v>
      </c>
      <c r="D1104" s="6">
        <v>41633.210000000006</v>
      </c>
    </row>
    <row r="1105" spans="2:4">
      <c r="B1105" s="4" t="str">
        <f>"YAMATO HOLDINGS CO NPV"</f>
        <v>YAMATO HOLDINGS CO NPV</v>
      </c>
      <c r="C1105" s="6">
        <v>1900</v>
      </c>
      <c r="D1105" s="6">
        <v>39222.519999999997</v>
      </c>
    </row>
    <row r="1106" spans="2:4">
      <c r="B1106" s="4" t="str">
        <f>"YARA INTERNATIONAL NOK1.7"</f>
        <v>YARA INTERNATIONAL NOK1.7</v>
      </c>
      <c r="C1106" s="6">
        <v>1577</v>
      </c>
      <c r="D1106" s="6">
        <v>59736.73</v>
      </c>
    </row>
    <row r="1107" spans="2:4">
      <c r="B1107" s="4" t="str">
        <f>"YUM BRANDS INC COM"</f>
        <v>YUM BRANDS INC COM</v>
      </c>
      <c r="C1107" s="6">
        <v>659</v>
      </c>
      <c r="D1107" s="6">
        <v>62276.41</v>
      </c>
    </row>
    <row r="1108" spans="2:4">
      <c r="B1108" s="4" t="str">
        <f>"YUM CHINA HLDGS IN COM USD0.01"</f>
        <v>YUM CHINA HLDGS IN COM USD0.01</v>
      </c>
      <c r="C1108" s="6">
        <v>300</v>
      </c>
      <c r="D1108" s="6">
        <v>13418.92</v>
      </c>
    </row>
    <row r="1109" spans="2:4">
      <c r="B1109" s="4" t="str">
        <f>"Z HOLDINGS CORP NPV"</f>
        <v>Z HOLDINGS CORP NPV</v>
      </c>
      <c r="C1109" s="6">
        <v>8100</v>
      </c>
      <c r="D1109" s="6">
        <v>29009.919999999998</v>
      </c>
    </row>
    <row r="1110" spans="2:4">
      <c r="B1110" s="4" t="str">
        <f>"ZIMMER BIOMET HOLDINGS INC COM USD0.01"</f>
        <v>ZIMMER BIOMET HOLDINGS INC COM USD0.01</v>
      </c>
      <c r="C1110" s="6">
        <v>368</v>
      </c>
      <c r="D1110" s="6">
        <v>43254.26</v>
      </c>
    </row>
    <row r="1111" spans="2:4">
      <c r="B1111" s="4" t="str">
        <f>"ZOETIS INC COM USD0.01 CL 'A'"</f>
        <v>ZOETIS INC COM USD0.01 CL 'A'</v>
      </c>
      <c r="C1111" s="6">
        <v>314</v>
      </c>
      <c r="D1111" s="6">
        <v>45826.25</v>
      </c>
    </row>
    <row r="1112" spans="2:4">
      <c r="B1112" s="4" t="str">
        <f>"ZURICH INSURANCE GRP CHF0.10"</f>
        <v>ZURICH INSURANCE GRP CHF0.10</v>
      </c>
      <c r="C1112" s="6">
        <v>831</v>
      </c>
      <c r="D1112" s="6">
        <v>241239.6</v>
      </c>
    </row>
    <row r="1113" spans="2:4">
      <c r="B1113" s="2"/>
      <c r="C1113" s="2"/>
      <c r="D1113" s="2"/>
    </row>
    <row r="1114" spans="2:4">
      <c r="B1114" s="4" t="str">
        <f>"AUSTRALIAN DOLLAR "</f>
        <v xml:space="preserve">AUSTRALIAN DOLLAR </v>
      </c>
      <c r="C1114" s="6"/>
      <c r="D1114" s="6">
        <v>4039.13</v>
      </c>
    </row>
    <row r="1115" spans="2:4">
      <c r="B1115" s="4" t="str">
        <f>"CANADIAN DOLLAR "</f>
        <v xml:space="preserve">CANADIAN DOLLAR </v>
      </c>
      <c r="C1115" s="6"/>
      <c r="D1115" s="6">
        <v>5167.3</v>
      </c>
    </row>
    <row r="1116" spans="2:4">
      <c r="B1116" s="4" t="str">
        <f>"DANISH KRONE "</f>
        <v xml:space="preserve">DANISH KRONE </v>
      </c>
      <c r="C1116" s="6"/>
      <c r="D1116" s="6">
        <v>631.95000000000005</v>
      </c>
    </row>
    <row r="1117" spans="2:4">
      <c r="B1117" s="4" t="str">
        <f>"EURO "</f>
        <v xml:space="preserve">EURO </v>
      </c>
      <c r="C1117" s="6"/>
      <c r="D1117" s="6">
        <v>54257.62</v>
      </c>
    </row>
    <row r="1118" spans="2:4">
      <c r="B1118" s="4" t="s">
        <v>51</v>
      </c>
      <c r="C1118" s="6"/>
      <c r="D1118" s="6">
        <v>42433.15</v>
      </c>
    </row>
    <row r="1119" spans="2:4">
      <c r="B1119" s="4" t="s">
        <v>52</v>
      </c>
      <c r="C1119" s="6"/>
      <c r="D1119" s="6">
        <f>8589273.6+8893198.5</f>
        <v>17482472.100000001</v>
      </c>
    </row>
    <row r="1120" spans="2:4">
      <c r="B1120" s="4" t="s">
        <v>13</v>
      </c>
      <c r="C1120" s="6"/>
      <c r="D1120" s="6">
        <v>79668.47</v>
      </c>
    </row>
    <row r="1121" spans="2:4">
      <c r="B1121" s="4" t="str">
        <f>"HONG KONG DOLLAR "</f>
        <v xml:space="preserve">HONG KONG DOLLAR </v>
      </c>
      <c r="C1121" s="6"/>
      <c r="D1121" s="6">
        <v>5704.94</v>
      </c>
    </row>
    <row r="1122" spans="2:4">
      <c r="B1122" s="4" t="str">
        <f>"JAPANESE YEN "</f>
        <v xml:space="preserve">JAPANESE YEN </v>
      </c>
      <c r="C1122" s="6"/>
      <c r="D1122" s="6">
        <v>879.13</v>
      </c>
    </row>
    <row r="1123" spans="2:4">
      <c r="B1123" s="4" t="s">
        <v>16</v>
      </c>
      <c r="C1123" s="6"/>
      <c r="D1123" s="6">
        <v>11101.85</v>
      </c>
    </row>
    <row r="1124" spans="2:4">
      <c r="B1124" s="4" t="s">
        <v>17</v>
      </c>
      <c r="C1124" s="6"/>
      <c r="D1124" s="6">
        <v>-77583.649999999994</v>
      </c>
    </row>
    <row r="1125" spans="2:4">
      <c r="B1125" s="4" t="str">
        <f>"NEW ISRAELI SHEKEL "</f>
        <v xml:space="preserve">NEW ISRAELI SHEKEL </v>
      </c>
      <c r="C1125" s="6"/>
      <c r="D1125" s="6">
        <v>467.24</v>
      </c>
    </row>
    <row r="1126" spans="2:4">
      <c r="B1126" s="4" t="str">
        <f>"NEW ZEALAND DOLLAR "</f>
        <v xml:space="preserve">NEW ZEALAND DOLLAR </v>
      </c>
      <c r="C1126" s="6"/>
      <c r="D1126" s="6">
        <v>387.29</v>
      </c>
    </row>
    <row r="1127" spans="2:4">
      <c r="B1127" s="4" t="str">
        <f>"NORWEGIAN KRONE "</f>
        <v xml:space="preserve">NORWEGIAN KRONE </v>
      </c>
      <c r="C1127" s="6"/>
      <c r="D1127" s="6">
        <v>1275.04</v>
      </c>
    </row>
    <row r="1128" spans="2:4">
      <c r="B1128" s="4" t="str">
        <f>"POLISH ZLOTY "</f>
        <v xml:space="preserve">POLISH ZLOTY </v>
      </c>
      <c r="C1128" s="6"/>
      <c r="D1128" s="6">
        <v>2189.83</v>
      </c>
    </row>
    <row r="1129" spans="2:4">
      <c r="B1129" s="4" t="str">
        <f>"POUND STERLING "</f>
        <v xml:space="preserve">POUND STERLING </v>
      </c>
      <c r="C1129" s="6"/>
      <c r="D1129" s="6">
        <v>174067.21</v>
      </c>
    </row>
    <row r="1130" spans="2:4">
      <c r="B1130" s="4" t="str">
        <f>"REPUBLIC OF KOREA WON "</f>
        <v xml:space="preserve">REPUBLIC OF KOREA WON </v>
      </c>
      <c r="C1130" s="6"/>
      <c r="D1130" s="6">
        <v>-0.01</v>
      </c>
    </row>
    <row r="1131" spans="2:4">
      <c r="B1131" s="4" t="str">
        <f>"SINGAPORE DOLLAR "</f>
        <v xml:space="preserve">SINGAPORE DOLLAR </v>
      </c>
      <c r="C1131" s="6"/>
      <c r="D1131" s="6">
        <v>3005.99</v>
      </c>
    </row>
    <row r="1132" spans="2:4">
      <c r="B1132" s="4" t="str">
        <f>"SWEDISH KRONA "</f>
        <v xml:space="preserve">SWEDISH KRONA </v>
      </c>
      <c r="C1132" s="6"/>
      <c r="D1132" s="6">
        <v>1645.95</v>
      </c>
    </row>
    <row r="1133" spans="2:4">
      <c r="B1133" s="4" t="str">
        <f>"SWISS FRANC "</f>
        <v xml:space="preserve">SWISS FRANC </v>
      </c>
      <c r="C1133" s="6"/>
      <c r="D1133" s="6">
        <v>1786.67</v>
      </c>
    </row>
    <row r="1134" spans="2:4">
      <c r="B1134" s="4" t="str">
        <f>"US DOLLAR "</f>
        <v xml:space="preserve">US DOLLAR </v>
      </c>
      <c r="C1134" s="6"/>
      <c r="D1134" s="6">
        <v>19636.18</v>
      </c>
    </row>
    <row r="1135" spans="2:4">
      <c r="B1135" s="4" t="s">
        <v>53</v>
      </c>
      <c r="C1135" s="6"/>
      <c r="D1135" s="6">
        <v>196.25</v>
      </c>
    </row>
    <row r="1136" spans="2:4">
      <c r="B1136" s="4" t="s">
        <v>14</v>
      </c>
      <c r="C1136" s="6"/>
      <c r="D1136" s="6">
        <v>41122.78</v>
      </c>
    </row>
    <row r="1137" spans="2:4">
      <c r="B1137" s="4" t="str">
        <f>"US-dollar Variation Margin"</f>
        <v>US-dollar Variation Margin</v>
      </c>
      <c r="C1137" s="6"/>
      <c r="D1137" s="6">
        <v>1.67</v>
      </c>
    </row>
    <row r="1138" spans="2:4">
      <c r="B1138" s="4" t="s">
        <v>54</v>
      </c>
      <c r="C1138" s="6"/>
      <c r="D1138" s="6">
        <v>2.8</v>
      </c>
    </row>
    <row r="1139" spans="2:4">
      <c r="B1139" s="2"/>
      <c r="C1139" s="2"/>
      <c r="D1139" s="2"/>
    </row>
    <row r="1140" spans="2:4" ht="15.75" thickBot="1">
      <c r="B1140" s="2" t="s">
        <v>55</v>
      </c>
      <c r="C1140" s="2"/>
      <c r="D1140" s="7">
        <f>SUM(D4:D1138)</f>
        <v>225162561.06999969</v>
      </c>
    </row>
    <row r="1141" spans="2:4" ht="15.75" thickTop="1">
      <c r="B1141" s="2"/>
      <c r="C1141" s="2"/>
      <c r="D1141" s="2"/>
    </row>
    <row r="1142" spans="2:4">
      <c r="B1142" s="2"/>
      <c r="C1142" s="2"/>
      <c r="D1142" s="2"/>
    </row>
    <row r="1143" spans="2:4">
      <c r="B1143" s="2"/>
      <c r="C1143" s="2"/>
      <c r="D1143" s="2"/>
    </row>
    <row r="1144" spans="2:4">
      <c r="B1144" s="2"/>
      <c r="C1144" s="2"/>
      <c r="D1144" s="2"/>
    </row>
    <row r="1145" spans="2:4">
      <c r="B1145" s="2"/>
      <c r="C1145" s="2"/>
      <c r="D1145" s="2"/>
    </row>
    <row r="1146" spans="2:4">
      <c r="B1146" s="2"/>
      <c r="C1146" s="2"/>
      <c r="D1146" s="2"/>
    </row>
    <row r="1147" spans="2:4">
      <c r="B1147" s="2"/>
      <c r="C1147" s="2"/>
      <c r="D1147" s="2"/>
    </row>
    <row r="1148" spans="2:4">
      <c r="B1148" s="2"/>
      <c r="C1148" s="2"/>
      <c r="D1148" s="2"/>
    </row>
    <row r="1149" spans="2:4">
      <c r="B1149" s="2"/>
      <c r="C1149" s="2"/>
      <c r="D1149" s="2"/>
    </row>
    <row r="1150" spans="2:4">
      <c r="B1150" s="2"/>
      <c r="C1150" s="2"/>
      <c r="D1150" s="2"/>
    </row>
    <row r="1151" spans="2:4">
      <c r="B1151" s="2"/>
      <c r="C1151" s="2"/>
      <c r="D1151" s="2"/>
    </row>
    <row r="1152" spans="2:4">
      <c r="B1152" s="2"/>
      <c r="C1152" s="2"/>
      <c r="D1152" s="2"/>
    </row>
    <row r="1153" spans="2:4">
      <c r="B1153" s="2"/>
      <c r="C1153" s="2"/>
      <c r="D1153" s="2"/>
    </row>
    <row r="1154" spans="2:4">
      <c r="B1154" s="2"/>
      <c r="C1154" s="2"/>
      <c r="D1154" s="2"/>
    </row>
    <row r="1155" spans="2:4">
      <c r="B1155" s="2"/>
      <c r="C1155" s="2"/>
      <c r="D1155" s="2"/>
    </row>
    <row r="1156" spans="2:4">
      <c r="B1156" s="2"/>
      <c r="C1156" s="2"/>
      <c r="D1156" s="2"/>
    </row>
    <row r="1157" spans="2:4">
      <c r="B1157" s="2"/>
      <c r="C1157" s="2"/>
      <c r="D1157" s="2"/>
    </row>
    <row r="1158" spans="2:4">
      <c r="B1158" s="2"/>
      <c r="C1158" s="2"/>
      <c r="D1158" s="2"/>
    </row>
    <row r="1159" spans="2:4">
      <c r="B1159" s="2"/>
      <c r="C1159" s="2"/>
      <c r="D1159" s="2"/>
    </row>
    <row r="1160" spans="2:4">
      <c r="B1160" s="2"/>
      <c r="C1160" s="2"/>
      <c r="D1160" s="2"/>
    </row>
    <row r="1161" spans="2:4">
      <c r="B1161" s="2"/>
      <c r="C1161" s="2"/>
      <c r="D1161" s="2"/>
    </row>
    <row r="1162" spans="2:4">
      <c r="B1162" s="2"/>
      <c r="C1162" s="2"/>
      <c r="D1162" s="2"/>
    </row>
    <row r="1163" spans="2:4">
      <c r="B1163" s="2"/>
      <c r="C1163" s="2"/>
      <c r="D1163" s="2"/>
    </row>
    <row r="1164" spans="2:4">
      <c r="B1164" s="2"/>
      <c r="C1164" s="2"/>
      <c r="D1164" s="2"/>
    </row>
    <row r="1165" spans="2:4">
      <c r="B1165" s="2"/>
      <c r="C1165" s="2"/>
      <c r="D1165" s="2"/>
    </row>
    <row r="1166" spans="2:4">
      <c r="B1166" s="2"/>
      <c r="C1166" s="2"/>
      <c r="D1166" s="2"/>
    </row>
    <row r="1167" spans="2:4">
      <c r="B1167" s="2"/>
      <c r="C1167" s="2"/>
      <c r="D1167" s="2"/>
    </row>
    <row r="1168" spans="2:4">
      <c r="B1168" s="2"/>
      <c r="C1168" s="2"/>
      <c r="D1168" s="2"/>
    </row>
    <row r="1169" spans="2:4">
      <c r="B1169" s="2"/>
      <c r="C1169" s="2"/>
      <c r="D1169" s="2"/>
    </row>
    <row r="1170" spans="2:4">
      <c r="B1170" s="2"/>
      <c r="C1170" s="2"/>
      <c r="D1170" s="2"/>
    </row>
    <row r="1171" spans="2:4">
      <c r="B1171" s="2"/>
      <c r="C1171" s="2"/>
      <c r="D1171" s="2"/>
    </row>
    <row r="1172" spans="2:4">
      <c r="B1172" s="2"/>
      <c r="C1172" s="2"/>
      <c r="D1172" s="2"/>
    </row>
    <row r="1173" spans="2:4">
      <c r="B1173" s="2"/>
      <c r="C1173" s="2"/>
      <c r="D1173" s="2"/>
    </row>
    <row r="1174" spans="2:4">
      <c r="B1174" s="2"/>
      <c r="C1174" s="2"/>
      <c r="D1174" s="2"/>
    </row>
    <row r="1175" spans="2:4">
      <c r="B1175" s="2"/>
      <c r="C1175" s="2"/>
      <c r="D1175" s="2"/>
    </row>
    <row r="1176" spans="2:4">
      <c r="B1176" s="2"/>
      <c r="C1176" s="2"/>
      <c r="D1176" s="2"/>
    </row>
    <row r="1177" spans="2:4">
      <c r="B1177" s="2"/>
      <c r="C1177" s="2"/>
      <c r="D1177" s="2"/>
    </row>
    <row r="1178" spans="2:4">
      <c r="B1178" s="2"/>
      <c r="C1178" s="2"/>
      <c r="D1178" s="2"/>
    </row>
    <row r="1179" spans="2:4">
      <c r="B1179" s="2"/>
      <c r="C1179" s="2"/>
      <c r="D1179" s="2"/>
    </row>
    <row r="1180" spans="2:4">
      <c r="B1180" s="2"/>
      <c r="C1180" s="2"/>
      <c r="D1180" s="2"/>
    </row>
    <row r="1181" spans="2:4">
      <c r="B1181" s="2"/>
      <c r="C1181" s="2"/>
      <c r="D1181" s="2"/>
    </row>
    <row r="1182" spans="2:4">
      <c r="B1182" s="2"/>
      <c r="C1182" s="2"/>
      <c r="D1182" s="2"/>
    </row>
  </sheetData>
  <sortState xmlns:xlrd2="http://schemas.microsoft.com/office/spreadsheetml/2017/richdata2" ref="B7:D1112">
    <sortCondition ref="B7:B111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- 31-Jul-21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Shields</dc:creator>
  <cp:lastModifiedBy>Kevin Mallett</cp:lastModifiedBy>
  <dcterms:created xsi:type="dcterms:W3CDTF">2020-12-01T12:03:32Z</dcterms:created>
  <dcterms:modified xsi:type="dcterms:W3CDTF">2021-10-27T09:40:48Z</dcterms:modified>
</cp:coreProperties>
</file>